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" sheetId="1" r:id="rId4"/>
    <sheet state="visible" name="Calculator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9">
      <text>
        <t xml:space="preserve">Unless stated, this should be the relevant strength stat</t>
      </text>
    </comment>
    <comment authorId="0" ref="D10">
      <text>
        <t xml:space="preserve">Rubble amount
</t>
      </text>
    </comment>
    <comment authorId="0" ref="D11">
      <text>
        <t xml:space="preserve">Remaining restraint</t>
      </text>
    </comment>
    <comment authorId="0" ref="D18">
      <text>
        <t xml:space="preserve">Heal level
</t>
      </text>
    </comment>
    <comment authorId="0" ref="D21">
      <text>
        <t xml:space="preserve">Battery level
</t>
      </text>
    </comment>
    <comment authorId="0" ref="D22">
      <text>
        <t xml:space="preserve">Enemies swallowed
</t>
      </text>
    </comment>
    <comment authorId="0" ref="D27">
      <text>
        <t xml:space="preserve">Is this subsumed onto another frame?
</t>
      </text>
    </comment>
    <comment authorId="0" ref="D28">
      <text>
        <t xml:space="preserve">Shadows linked
</t>
      </text>
    </comment>
    <comment authorId="0" ref="B30">
      <text>
        <t xml:space="preserve">Damage redirection to enemies only. Do NOT use this to modify power strength.</t>
      </text>
    </comment>
    <comment authorId="0" ref="F31">
      <text>
        <t xml:space="preserve">Duration, not strength</t>
      </text>
    </comment>
    <comment authorId="0" ref="D35">
      <text>
        <t xml:space="preserve">Enemies hit
</t>
      </text>
    </comment>
    <comment authorId="0" ref="H35">
      <text>
        <t xml:space="preserve">Multiplicative bonus to armor</t>
      </text>
    </comment>
    <comment authorId="0" ref="D40">
      <text>
        <t xml:space="preserve">Enemies hit
</t>
      </text>
    </comment>
    <comment authorId="0" ref="C48">
      <text>
        <t xml:space="preserve">Number of active auras</t>
      </text>
    </comment>
    <comment authorId="0" ref="A53">
      <text>
        <t xml:space="preserve">Also functions as Ironclad Flight - the two mods are mutually exclusive</t>
      </text>
    </comment>
    <comment authorId="0" ref="C59">
      <text>
        <t xml:space="preserve">Stack count</t>
      </text>
    </comment>
    <comment authorId="0" ref="C63">
      <text>
        <t xml:space="preserve">Enemies affected
</t>
      </text>
    </comment>
    <comment authorId="0" ref="C64">
      <text>
        <t xml:space="preserve">Number of active auras</t>
      </text>
    </comment>
    <comment authorId="0" ref="C66">
      <text>
        <t xml:space="preserve">Number of active set mods</t>
      </text>
    </comment>
    <comment authorId="0" ref="C71">
      <text>
        <t xml:space="preserve">Number of active auras</t>
      </text>
    </comment>
    <comment authorId="0" ref="C73">
      <text>
        <t xml:space="preserve">Number of active auras</t>
      </text>
    </comment>
  </commentList>
</comments>
</file>

<file path=xl/sharedStrings.xml><?xml version="1.0" encoding="utf-8"?>
<sst xmlns="http://schemas.openxmlformats.org/spreadsheetml/2006/main" count="406" uniqueCount="221">
  <si>
    <t>Welcome to the Streamlined EHP Calculator by TheKengineer</t>
  </si>
  <si>
    <t>How to use this calculator</t>
  </si>
  <si>
    <t>Blue cells are pre-determined input. Do not touch</t>
  </si>
  <si>
    <t>Yellow cells are calculated output. Do not touch</t>
  </si>
  <si>
    <t>Green cells are for YOUR input with the following steps:</t>
  </si>
  <si>
    <t>1. Select the Warframe whose effective hitpoints are being calculated by using the drop down in cell B1 in the calculator</t>
  </si>
  <si>
    <t>2. Input the ability stats of that Warframe (for the build you are using) into cells B3 through B6 in the calculator</t>
  </si>
  <si>
    <t>3. Select all abilities, mods, and extras that will be active</t>
  </si>
  <si>
    <t>Some options have an associated variable, such as how low your restraint is, or how many enemies are affected. See the cell's notes for explanation</t>
  </si>
  <si>
    <t>If the ability is cast by another player, use the Stat Override column to set the value. Use the checkbox to toggle on and off this override</t>
  </si>
  <si>
    <t>Greyed out cells do not have a variable or do not depend on an ability stat. Removed to avoid confusion.</t>
  </si>
  <si>
    <t>All abilities, mods, and extras are assumed to be max ranked. If your gear is not max rank, get to work!</t>
  </si>
  <si>
    <t>4. The results of your selection will populate in the yellow boxes at the top</t>
  </si>
  <si>
    <t>5. If there are any auto-detected conerns or errors, they will display in a list in the top right</t>
  </si>
  <si>
    <t>Warframe</t>
  </si>
  <si>
    <t>Ash</t>
  </si>
  <si>
    <t>Health</t>
  </si>
  <si>
    <t>Shield</t>
  </si>
  <si>
    <t>Armor</t>
  </si>
  <si>
    <t>Notes and Warnings</t>
  </si>
  <si>
    <t>Warframe Data</t>
  </si>
  <si>
    <t>Health (base)</t>
  </si>
  <si>
    <t>Shield (base)</t>
  </si>
  <si>
    <t>Armor (base)</t>
  </si>
  <si>
    <t>Lvl 30 Health+</t>
  </si>
  <si>
    <t>Lvl 30 Shield+</t>
  </si>
  <si>
    <t>Lvl 30 Armor+</t>
  </si>
  <si>
    <t>Ability Modifiers</t>
  </si>
  <si>
    <t>Frame type:</t>
  </si>
  <si>
    <t>Strength</t>
  </si>
  <si>
    <t>DR Health</t>
  </si>
  <si>
    <t>DR Shield</t>
  </si>
  <si>
    <t>Ash Prime</t>
  </si>
  <si>
    <t>Duration</t>
  </si>
  <si>
    <t>Atlas</t>
  </si>
  <si>
    <t>Range</t>
  </si>
  <si>
    <t>EHP Health</t>
  </si>
  <si>
    <t>EHP Shield</t>
  </si>
  <si>
    <t>EHP Total</t>
  </si>
  <si>
    <t>Atlas Prime</t>
  </si>
  <si>
    <t>Efficiency</t>
  </si>
  <si>
    <t>Banshee</t>
  </si>
  <si>
    <t>Banshee Prime</t>
  </si>
  <si>
    <t>Warframe Abilities</t>
  </si>
  <si>
    <t>Baruuk</t>
  </si>
  <si>
    <t>Ability</t>
  </si>
  <si>
    <t>Active</t>
  </si>
  <si>
    <t>Variable</t>
  </si>
  <si>
    <t>Override stat?</t>
  </si>
  <si>
    <t>Override value</t>
  </si>
  <si>
    <t>DR or Armor</t>
  </si>
  <si>
    <t>Effect value</t>
  </si>
  <si>
    <t>Chroma</t>
  </si>
  <si>
    <t>Rubble</t>
  </si>
  <si>
    <t>-</t>
  </si>
  <si>
    <t>Chroma Prime</t>
  </si>
  <si>
    <t>Restraint</t>
  </si>
  <si>
    <t>DR</t>
  </si>
  <si>
    <t>Ember</t>
  </si>
  <si>
    <t>Desolate Hands</t>
  </si>
  <si>
    <t>Ember Prime</t>
  </si>
  <si>
    <t>Serene Storm</t>
  </si>
  <si>
    <t>Equinox</t>
  </si>
  <si>
    <t>Elemental Ward Cold</t>
  </si>
  <si>
    <t>Equinox Prime</t>
  </si>
  <si>
    <t>Elemental Ward Heat</t>
  </si>
  <si>
    <t>Excalibur</t>
  </si>
  <si>
    <t>Elemental Ward Electric</t>
  </si>
  <si>
    <t>Excalibur Prime</t>
  </si>
  <si>
    <t>Vex Armor</t>
  </si>
  <si>
    <t>Excalibur Umbra</t>
  </si>
  <si>
    <t>Immolation</t>
  </si>
  <si>
    <t>Excalibur Umbra Prime</t>
  </si>
  <si>
    <t>Pacify</t>
  </si>
  <si>
    <t>Frost</t>
  </si>
  <si>
    <t>Gara</t>
  </si>
  <si>
    <t>Splinter Storm</t>
  </si>
  <si>
    <t>Frost Prime</t>
  </si>
  <si>
    <t>Gauss</t>
  </si>
  <si>
    <t>Kinetic Plating</t>
  </si>
  <si>
    <t>Grendel</t>
  </si>
  <si>
    <t>Enemies swallowed</t>
  </si>
  <si>
    <t>Gara Prime</t>
  </si>
  <si>
    <t>Inaros</t>
  </si>
  <si>
    <t>Scarab Swarm</t>
  </si>
  <si>
    <t>Garuda</t>
  </si>
  <si>
    <t>Loki</t>
  </si>
  <si>
    <t>Deceptive Bond</t>
  </si>
  <si>
    <t>Mesa</t>
  </si>
  <si>
    <t>Shatter Shield</t>
  </si>
  <si>
    <t>No melee</t>
  </si>
  <si>
    <t>Harrow</t>
  </si>
  <si>
    <t>Mirage</t>
  </si>
  <si>
    <t>Eclipse</t>
  </si>
  <si>
    <t>Hildryn</t>
  </si>
  <si>
    <t>Nekros</t>
  </si>
  <si>
    <t>Shield of Shadows</t>
  </si>
  <si>
    <t>Hydroid</t>
  </si>
  <si>
    <t>Nezha</t>
  </si>
  <si>
    <t>Warding Halo</t>
  </si>
  <si>
    <t>Hydroid Prime</t>
  </si>
  <si>
    <t>Nidus</t>
  </si>
  <si>
    <t>Parasitic Link</t>
  </si>
  <si>
    <t>Nova</t>
  </si>
  <si>
    <t>Null Star</t>
  </si>
  <si>
    <t>Inaros Prime</t>
  </si>
  <si>
    <t>Oberon</t>
  </si>
  <si>
    <t>Hallowed Reckoning</t>
  </si>
  <si>
    <t>Ivara</t>
  </si>
  <si>
    <t>Iron Renewal</t>
  </si>
  <si>
    <t>Ivara Prime</t>
  </si>
  <si>
    <t>Octavia</t>
  </si>
  <si>
    <t>Metronome</t>
  </si>
  <si>
    <t>Khora</t>
  </si>
  <si>
    <t>Rhino</t>
  </si>
  <si>
    <t>Ironclad Charge</t>
  </si>
  <si>
    <t>Lavos</t>
  </si>
  <si>
    <t>Titania</t>
  </si>
  <si>
    <t>Tribute - Thorns</t>
  </si>
  <si>
    <t>Limbo</t>
  </si>
  <si>
    <t>Trinity</t>
  </si>
  <si>
    <t>Link</t>
  </si>
  <si>
    <t>Limbo Prime</t>
  </si>
  <si>
    <t>Blessing</t>
  </si>
  <si>
    <t>Valkyr</t>
  </si>
  <si>
    <t>Warcry</t>
  </si>
  <si>
    <t>Loki Prime</t>
  </si>
  <si>
    <t>Vauban</t>
  </si>
  <si>
    <t>Bastille</t>
  </si>
  <si>
    <t>Mag</t>
  </si>
  <si>
    <t>Wisp</t>
  </si>
  <si>
    <t>Reservoirs</t>
  </si>
  <si>
    <t>Mag Prime</t>
  </si>
  <si>
    <t>Wukong</t>
  </si>
  <si>
    <t>Defy</t>
  </si>
  <si>
    <t>Yareli</t>
  </si>
  <si>
    <t>Merulina</t>
  </si>
  <si>
    <t>Mesa Prime</t>
  </si>
  <si>
    <t>Mods</t>
  </si>
  <si>
    <t>Mirage Prime</t>
  </si>
  <si>
    <t>Mod name</t>
  </si>
  <si>
    <t>Affected stats</t>
  </si>
  <si>
    <t>Active?</t>
  </si>
  <si>
    <t>Coaction Drift?</t>
  </si>
  <si>
    <t>Health buff</t>
  </si>
  <si>
    <t>Armor buff</t>
  </si>
  <si>
    <t>Shield buff</t>
  </si>
  <si>
    <t>DR buff</t>
  </si>
  <si>
    <t>Adaptation</t>
  </si>
  <si>
    <t>Nekros Prime</t>
  </si>
  <si>
    <t>Aerodynamic</t>
  </si>
  <si>
    <t>BUGGED</t>
  </si>
  <si>
    <t>Agility Drift</t>
  </si>
  <si>
    <t>Nezha Prime</t>
  </si>
  <si>
    <t>Antitoxin</t>
  </si>
  <si>
    <t>Armored Agility</t>
  </si>
  <si>
    <t>Nidus Prime</t>
  </si>
  <si>
    <t>Augur Accord</t>
  </si>
  <si>
    <t>Aviator</t>
  </si>
  <si>
    <t>Nova Prime</t>
  </si>
  <si>
    <t>Carnis Carapace</t>
  </si>
  <si>
    <t>Health, Armor</t>
  </si>
  <si>
    <t>Nyx</t>
  </si>
  <si>
    <t>Diamond Skin</t>
  </si>
  <si>
    <t>Nyx Prime</t>
  </si>
  <si>
    <t>Flame Repellent</t>
  </si>
  <si>
    <t>Gladiator Aegis</t>
  </si>
  <si>
    <t>Oberon Prime</t>
  </si>
  <si>
    <t>Gladiator Resolve</t>
  </si>
  <si>
    <t>Health Conversion</t>
  </si>
  <si>
    <t>Octavia Prime</t>
  </si>
  <si>
    <t>Insulation</t>
  </si>
  <si>
    <t>Protea</t>
  </si>
  <si>
    <t>Jugulus Carapace</t>
  </si>
  <si>
    <t>Revenant</t>
  </si>
  <si>
    <t>Lightning Rod</t>
  </si>
  <si>
    <t>Mecha Pulse</t>
  </si>
  <si>
    <t>Rhino Prime</t>
  </si>
  <si>
    <t>Physique</t>
  </si>
  <si>
    <t>Saryn</t>
  </si>
  <si>
    <t>Primed Vigor</t>
  </si>
  <si>
    <t>Health, Shield</t>
  </si>
  <si>
    <t>Saryn Prime</t>
  </si>
  <si>
    <t>Proton Set</t>
  </si>
  <si>
    <t>Sevagoth</t>
  </si>
  <si>
    <t>Redirection</t>
  </si>
  <si>
    <t>Sevagoth's Shadow</t>
  </si>
  <si>
    <t>Saxum Carapace</t>
  </si>
  <si>
    <t>Shield Charger</t>
  </si>
  <si>
    <t>Titania Prime</t>
  </si>
  <si>
    <t>Shock Absorbers</t>
  </si>
  <si>
    <t>Stand United</t>
  </si>
  <si>
    <t>Trinity Prime</t>
  </si>
  <si>
    <t>Steel Fiber</t>
  </si>
  <si>
    <t>Toxin Resistance</t>
  </si>
  <si>
    <t>Valkyr Prime</t>
  </si>
  <si>
    <t>Umbral Fiber</t>
  </si>
  <si>
    <t>Armor, DR</t>
  </si>
  <si>
    <t>No</t>
  </si>
  <si>
    <t>Umbral Vitality</t>
  </si>
  <si>
    <t>Health, DR</t>
  </si>
  <si>
    <t>Vauban Prime</t>
  </si>
  <si>
    <t>Vigor</t>
  </si>
  <si>
    <t>Volt</t>
  </si>
  <si>
    <t>Vitality</t>
  </si>
  <si>
    <t>Volt Prime</t>
  </si>
  <si>
    <t>Extras</t>
  </si>
  <si>
    <t>Arcane Guardian</t>
  </si>
  <si>
    <t>Wukong Prime</t>
  </si>
  <si>
    <t>Arcane Tanker</t>
  </si>
  <si>
    <t>Xaku</t>
  </si>
  <si>
    <t>Arcane Ultimatum</t>
  </si>
  <si>
    <t>Stone Skin</t>
  </si>
  <si>
    <t>Zephyr</t>
  </si>
  <si>
    <t>Purity</t>
  </si>
  <si>
    <t>Zephyr Prime</t>
  </si>
  <si>
    <t>Justice</t>
  </si>
  <si>
    <t>Sequence</t>
  </si>
  <si>
    <t>Ancient Healer Specter</t>
  </si>
  <si>
    <t>Confirmed mods</t>
  </si>
  <si>
    <t>Proton option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</si>
</sst>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36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color theme="1"/>
      <name val="Arial"/>
    </font>
    <font>
      <color theme="1"/>
      <name val="Arial"/>
    </font>
    <font>
      <color rgb="FF999999"/>
      <name val="Arial"/>
    </font>
    <font>
      <color rgb="FF666666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3" numFmtId="0" xfId="0" applyAlignment="1" applyFill="1" applyFont="1">
      <alignment readingOrder="0"/>
    </xf>
    <xf borderId="0" fillId="5" fontId="3" numFmtId="0" xfId="0" applyAlignment="1" applyFill="1" applyFont="1">
      <alignment readingOrder="0"/>
    </xf>
    <xf borderId="0" fillId="6" fontId="3" numFmtId="0" xfId="0" applyAlignment="1" applyFill="1" applyFont="1">
      <alignment readingOrder="0"/>
    </xf>
    <xf borderId="0" fillId="7" fontId="3" numFmtId="0" xfId="0" applyAlignment="1" applyFill="1" applyFont="1">
      <alignment readingOrder="0"/>
    </xf>
    <xf borderId="0" fillId="2" fontId="4" numFmtId="0" xfId="0" applyAlignment="1" applyFont="1">
      <alignment readingOrder="0"/>
    </xf>
    <xf borderId="0" fillId="7" fontId="5" numFmtId="0" xfId="0" applyAlignment="1" applyFont="1">
      <alignment readingOrder="0"/>
    </xf>
    <xf borderId="0" fillId="8" fontId="5" numFmtId="0" xfId="0" applyAlignment="1" applyFill="1" applyFont="1">
      <alignment readingOrder="0"/>
    </xf>
    <xf borderId="0" fillId="0" fontId="5" numFmtId="0" xfId="0" applyAlignment="1" applyFont="1">
      <alignment readingOrder="0"/>
    </xf>
    <xf borderId="0" fillId="5" fontId="5" numFmtId="1" xfId="0" applyFont="1" applyNumberFormat="1"/>
    <xf borderId="0" fillId="0" fontId="5" numFmtId="0" xfId="0" applyFont="1"/>
    <xf borderId="0" fillId="0" fontId="5" numFmtId="9" xfId="0" applyAlignment="1" applyFont="1" applyNumberFormat="1">
      <alignment readingOrder="0"/>
    </xf>
    <xf borderId="0" fillId="4" fontId="5" numFmtId="0" xfId="0" applyAlignment="1" applyFont="1">
      <alignment readingOrder="0"/>
    </xf>
    <xf borderId="0" fillId="7" fontId="5" numFmtId="9" xfId="0" applyAlignment="1" applyFont="1" applyNumberFormat="1">
      <alignment readingOrder="0"/>
    </xf>
    <xf borderId="0" fillId="9" fontId="0" numFmtId="0" xfId="0" applyFill="1" applyFont="1"/>
    <xf borderId="0" fillId="5" fontId="5" numFmtId="10" xfId="0" applyFont="1" applyNumberFormat="1"/>
    <xf borderId="0" fillId="10" fontId="6" numFmtId="9" xfId="0" applyFill="1" applyFont="1" applyNumberFormat="1"/>
    <xf borderId="0" fillId="0" fontId="4" numFmtId="0" xfId="0" applyAlignment="1" applyFont="1">
      <alignment readingOrder="0"/>
    </xf>
    <xf borderId="0" fillId="6" fontId="4" numFmtId="0" xfId="0" applyAlignment="1" applyFont="1">
      <alignment readingOrder="0"/>
    </xf>
    <xf borderId="0" fillId="8" fontId="4" numFmtId="0" xfId="0" applyAlignment="1" applyFont="1">
      <alignment readingOrder="0"/>
    </xf>
    <xf borderId="0" fillId="10" fontId="6" numFmtId="0" xfId="0" applyAlignment="1" applyFont="1">
      <alignment readingOrder="0"/>
    </xf>
    <xf borderId="0" fillId="5" fontId="5" numFmtId="0" xfId="0" applyFont="1"/>
    <xf borderId="0" fillId="11" fontId="5" numFmtId="0" xfId="0" applyFill="1" applyFont="1"/>
    <xf borderId="0" fillId="5" fontId="5" numFmtId="9" xfId="0" applyFont="1" applyNumberFormat="1"/>
    <xf borderId="0" fillId="7" fontId="5" numFmtId="0" xfId="0" applyFont="1"/>
    <xf borderId="0" fillId="5" fontId="5" numFmtId="0" xfId="0" applyFont="1"/>
    <xf borderId="0" fillId="0" fontId="4" numFmtId="0" xfId="0" applyFont="1"/>
    <xf borderId="0" fillId="10" fontId="7" numFmtId="0" xfId="0" applyAlignment="1" applyFont="1">
      <alignment readingOrder="0"/>
    </xf>
    <xf borderId="0" fillId="5" fontId="5" numFmtId="9" xfId="0" applyAlignment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3">
      <c r="A3" s="2" t="s">
        <v>1</v>
      </c>
    </row>
    <row r="4">
      <c r="A4" s="3" t="s">
        <v>2</v>
      </c>
    </row>
    <row r="5">
      <c r="A5" s="4" t="s">
        <v>3</v>
      </c>
    </row>
    <row r="6">
      <c r="A6" s="5" t="s">
        <v>4</v>
      </c>
    </row>
    <row r="7">
      <c r="A7" s="6" t="s">
        <v>5</v>
      </c>
    </row>
    <row r="8">
      <c r="A8" s="6" t="s">
        <v>6</v>
      </c>
    </row>
    <row r="9">
      <c r="A9" s="6" t="s">
        <v>7</v>
      </c>
    </row>
    <row r="10">
      <c r="A10" s="3" t="s">
        <v>8</v>
      </c>
    </row>
    <row r="11">
      <c r="A11" s="3" t="s">
        <v>9</v>
      </c>
    </row>
    <row r="12">
      <c r="A12" s="3" t="s">
        <v>10</v>
      </c>
    </row>
    <row r="13">
      <c r="A13" s="3" t="s">
        <v>11</v>
      </c>
    </row>
    <row r="14">
      <c r="A14" s="6" t="s">
        <v>12</v>
      </c>
    </row>
    <row r="15">
      <c r="A15" s="6" t="s">
        <v>13</v>
      </c>
    </row>
  </sheetData>
  <mergeCells count="15">
    <mergeCell ref="A8:P8"/>
    <mergeCell ref="A9:P9"/>
    <mergeCell ref="A10:P10"/>
    <mergeCell ref="A11:P11"/>
    <mergeCell ref="A12:P12"/>
    <mergeCell ref="A13:P13"/>
    <mergeCell ref="A14:P14"/>
    <mergeCell ref="A15:P15"/>
    <mergeCell ref="A1:P1"/>
    <mergeCell ref="A2:P2"/>
    <mergeCell ref="A3:P3"/>
    <mergeCell ref="A4:P4"/>
    <mergeCell ref="A5:P5"/>
    <mergeCell ref="A6:P6"/>
    <mergeCell ref="A7:P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71"/>
    <col customWidth="1" min="2" max="2" width="21.43"/>
    <col customWidth="1" min="9" max="9" width="114.57"/>
    <col hidden="1" min="12" max="19" width="14.43"/>
  </cols>
  <sheetData>
    <row r="1">
      <c r="A1" s="7" t="s">
        <v>14</v>
      </c>
      <c r="B1" s="8" t="s">
        <v>15</v>
      </c>
      <c r="D1" s="9" t="s">
        <v>16</v>
      </c>
      <c r="E1" s="9" t="s">
        <v>17</v>
      </c>
      <c r="F1" s="9" t="s">
        <v>18</v>
      </c>
      <c r="I1" s="9" t="s">
        <v>19</v>
      </c>
      <c r="M1" s="10" t="s">
        <v>20</v>
      </c>
      <c r="N1" s="10" t="s">
        <v>21</v>
      </c>
      <c r="O1" s="10" t="s">
        <v>22</v>
      </c>
      <c r="P1" s="10" t="s">
        <v>23</v>
      </c>
      <c r="Q1" s="10" t="s">
        <v>24</v>
      </c>
      <c r="R1" s="10" t="s">
        <v>25</v>
      </c>
      <c r="S1" s="10" t="s">
        <v>26</v>
      </c>
    </row>
    <row r="2">
      <c r="A2" s="7" t="s">
        <v>27</v>
      </c>
      <c r="D2" s="11">
        <f t="array" ref="D2">index(M2:S84,match(B1,M2:M84,0),2)*(index(M2:S84,match(B1,M2:M84,0),5)+H15+E54+E58+E61+E64+E65+E68+E75+E76+E77+D84+1)+H26+H41</f>
        <v>450</v>
      </c>
      <c r="E2" s="11">
        <f t="array" ref="E2">index(M2:S84,match(B1,M2:M84,0),3)*(index(M2:S84,match(B1,M2:M84,0),6)+H16+G52+G65+G67+G69+G76+F86+1)</f>
        <v>300</v>
      </c>
      <c r="F2" s="11">
        <f t="array" ref="F2">(index(M2:S84,match(B1,M2:M84,0),4)*(index(M2:S84,match(B1,M2:M84,0),7)+H14+H17+H23+H34+H39+F51+F54+F57+F59+F61+F63+F68+F71+F72+F74+E85+1)+E83+E82+E81+E80+H42+H40+H33+H32+H22+H10)*(1+H35)</f>
        <v>100</v>
      </c>
      <c r="I2" s="12" t="str">
        <f>IFERROR(__xludf.DUMMYFUNCTION("ifna(sort(unique(filter(L10:L80,L10:L80&lt;&gt;"""")),1,FALSE),""No issues auto-detected."")"),"No issues auto-detected.")</f>
        <v>No issues auto-detected.</v>
      </c>
      <c r="L2" s="10" t="s">
        <v>28</v>
      </c>
      <c r="M2" s="10" t="s">
        <v>15</v>
      </c>
      <c r="N2" s="10">
        <v>150.0</v>
      </c>
      <c r="O2" s="10">
        <v>100.0</v>
      </c>
      <c r="P2" s="10">
        <v>100.0</v>
      </c>
      <c r="Q2" s="13">
        <v>2.0</v>
      </c>
      <c r="R2" s="13">
        <v>2.0</v>
      </c>
      <c r="S2" s="13">
        <v>0.0</v>
      </c>
    </row>
    <row r="3">
      <c r="A3" s="14" t="s">
        <v>29</v>
      </c>
      <c r="B3" s="15">
        <v>1.0</v>
      </c>
      <c r="D3" s="9" t="s">
        <v>30</v>
      </c>
      <c r="E3" s="9" t="s">
        <v>31</v>
      </c>
      <c r="L3" s="16" t="str">
        <f>iferror(left(B1,find(" ",B1)-1),B1)</f>
        <v>Ash</v>
      </c>
      <c r="M3" s="10" t="s">
        <v>32</v>
      </c>
      <c r="N3" s="10">
        <v>150.0</v>
      </c>
      <c r="O3" s="10">
        <v>125.0</v>
      </c>
      <c r="P3" s="10">
        <v>175.0</v>
      </c>
      <c r="Q3" s="13">
        <v>2.0</v>
      </c>
      <c r="R3" s="13">
        <v>2.0</v>
      </c>
      <c r="S3" s="13">
        <v>0.0</v>
      </c>
    </row>
    <row r="4">
      <c r="A4" s="14" t="s">
        <v>33</v>
      </c>
      <c r="B4" s="15">
        <v>1.0</v>
      </c>
      <c r="D4" s="17">
        <f>1-(1-F2/(300+F2))*(1-F4)</f>
        <v>0.25</v>
      </c>
      <c r="E4" s="17">
        <f>1-(1-0.25)*(1-F4)</f>
        <v>0.25</v>
      </c>
      <c r="F4" s="18">
        <f>1-(1-H11)*(1-H12)*(1-H13)*(1-H18)*(1-H19)*(1-H20)*(1-H21)*(1-H24)*(1-H25)*(1-H27)*(1-H28)*(1-H29)*(1-H30)*(1-H31)*(1-H36)*(1-H37)*(1-H38)*(1-H43)*(1-H47)*(1-H48)*(1-H49)*(1-H50)*(1-H53)*(1-H55)*(1-H56)*(1-H60)*(1-H62)*(1-H66)*(1-H70)*(1-H73)*(1-H74)*(1-H75)*(1-G87)</f>
        <v>0</v>
      </c>
      <c r="M4" s="10" t="s">
        <v>34</v>
      </c>
      <c r="N4" s="10">
        <v>100.0</v>
      </c>
      <c r="O4" s="10">
        <v>100.0</v>
      </c>
      <c r="P4" s="10">
        <v>450.0</v>
      </c>
      <c r="Q4" s="13">
        <v>2.0</v>
      </c>
      <c r="R4" s="13">
        <v>2.0</v>
      </c>
      <c r="S4" s="13">
        <v>0.0</v>
      </c>
    </row>
    <row r="5">
      <c r="A5" s="14" t="s">
        <v>35</v>
      </c>
      <c r="B5" s="15">
        <v>1.0</v>
      </c>
      <c r="D5" s="9" t="s">
        <v>36</v>
      </c>
      <c r="E5" s="9" t="s">
        <v>37</v>
      </c>
      <c r="F5" s="9" t="s">
        <v>38</v>
      </c>
      <c r="M5" s="10" t="s">
        <v>39</v>
      </c>
      <c r="N5" s="10">
        <v>175.0</v>
      </c>
      <c r="O5" s="10">
        <v>150.0</v>
      </c>
      <c r="P5" s="10">
        <v>475.0</v>
      </c>
      <c r="Q5" s="13">
        <v>2.0</v>
      </c>
      <c r="R5" s="13">
        <v>2.0</v>
      </c>
      <c r="S5" s="13">
        <v>0.0</v>
      </c>
    </row>
    <row r="6">
      <c r="A6" s="14" t="s">
        <v>40</v>
      </c>
      <c r="B6" s="15">
        <v>1.0</v>
      </c>
      <c r="D6" s="11">
        <f t="shared" ref="D6:E6" si="1">D2/(1-D4)</f>
        <v>600</v>
      </c>
      <c r="E6" s="11">
        <f t="shared" si="1"/>
        <v>400</v>
      </c>
      <c r="F6" s="11">
        <f>E6+D6</f>
        <v>1000</v>
      </c>
      <c r="M6" s="10" t="s">
        <v>41</v>
      </c>
      <c r="N6" s="10">
        <v>100.0</v>
      </c>
      <c r="O6" s="10">
        <v>100.0</v>
      </c>
      <c r="P6" s="10">
        <v>100.0</v>
      </c>
      <c r="Q6" s="13">
        <v>2.0</v>
      </c>
      <c r="R6" s="13">
        <v>2.0</v>
      </c>
      <c r="S6" s="13">
        <v>0.0</v>
      </c>
    </row>
    <row r="7">
      <c r="M7" s="10" t="s">
        <v>42</v>
      </c>
      <c r="N7" s="10">
        <v>100.0</v>
      </c>
      <c r="O7" s="10">
        <v>100.0</v>
      </c>
      <c r="P7" s="10">
        <v>125.0</v>
      </c>
      <c r="Q7" s="13">
        <v>2.0</v>
      </c>
      <c r="R7" s="13">
        <v>2.0</v>
      </c>
      <c r="S7" s="13">
        <v>0.0</v>
      </c>
    </row>
    <row r="8">
      <c r="A8" s="19" t="s">
        <v>43</v>
      </c>
      <c r="M8" s="10" t="s">
        <v>44</v>
      </c>
      <c r="N8" s="10">
        <v>75.0</v>
      </c>
      <c r="O8" s="10">
        <v>100.0</v>
      </c>
      <c r="P8" s="10">
        <v>175.0</v>
      </c>
      <c r="Q8" s="13">
        <v>2.0</v>
      </c>
      <c r="R8" s="13">
        <v>2.0</v>
      </c>
      <c r="S8" s="13">
        <v>0.0</v>
      </c>
    </row>
    <row r="9">
      <c r="A9" s="7" t="s">
        <v>14</v>
      </c>
      <c r="B9" s="7" t="s">
        <v>45</v>
      </c>
      <c r="C9" s="20" t="s">
        <v>46</v>
      </c>
      <c r="D9" s="20" t="s">
        <v>47</v>
      </c>
      <c r="E9" s="20" t="s">
        <v>48</v>
      </c>
      <c r="F9" s="20" t="s">
        <v>49</v>
      </c>
      <c r="G9" s="7" t="s">
        <v>50</v>
      </c>
      <c r="H9" s="21" t="s">
        <v>51</v>
      </c>
      <c r="M9" s="10" t="s">
        <v>52</v>
      </c>
      <c r="N9" s="10">
        <v>100.0</v>
      </c>
      <c r="O9" s="10">
        <v>100.0</v>
      </c>
      <c r="P9" s="10">
        <v>350.0</v>
      </c>
      <c r="Q9" s="13">
        <v>2.0</v>
      </c>
      <c r="R9" s="13">
        <v>2.0</v>
      </c>
      <c r="S9" s="13">
        <v>0.0</v>
      </c>
    </row>
    <row r="10">
      <c r="A10" s="14" t="s">
        <v>34</v>
      </c>
      <c r="B10" s="14" t="s">
        <v>53</v>
      </c>
      <c r="C10" s="8" t="b">
        <v>0</v>
      </c>
      <c r="D10" s="8">
        <v>0.0</v>
      </c>
      <c r="E10" s="22" t="s">
        <v>54</v>
      </c>
      <c r="F10" s="22" t="s">
        <v>54</v>
      </c>
      <c r="G10" s="14" t="s">
        <v>18</v>
      </c>
      <c r="H10" s="23">
        <f>if(C10=true,D10,0)</f>
        <v>0</v>
      </c>
      <c r="L10" s="24" t="str">
        <f t="shared" ref="L10:L13" si="2">if(C10=true,if(L$3=A10,"","Warning: You have selected an ability which cannot be used with the chosen frame!"),"")</f>
        <v/>
      </c>
      <c r="M10" s="10" t="s">
        <v>55</v>
      </c>
      <c r="N10" s="10">
        <v>100.0</v>
      </c>
      <c r="O10" s="10">
        <v>100.0</v>
      </c>
      <c r="P10" s="10">
        <v>425.0</v>
      </c>
      <c r="Q10" s="13">
        <v>2.0</v>
      </c>
      <c r="R10" s="13">
        <v>2.0</v>
      </c>
      <c r="S10" s="13">
        <v>0.0</v>
      </c>
    </row>
    <row r="11">
      <c r="A11" s="14" t="s">
        <v>44</v>
      </c>
      <c r="B11" s="14" t="s">
        <v>56</v>
      </c>
      <c r="C11" s="8" t="b">
        <v>0</v>
      </c>
      <c r="D11" s="15">
        <v>0.0</v>
      </c>
      <c r="E11" s="22" t="s">
        <v>54</v>
      </c>
      <c r="F11" s="22" t="s">
        <v>54</v>
      </c>
      <c r="G11" s="14" t="s">
        <v>57</v>
      </c>
      <c r="H11" s="25">
        <f>if(C11=TRUE,(0.5-D11/2),0)</f>
        <v>0</v>
      </c>
      <c r="L11" s="24" t="str">
        <f t="shared" si="2"/>
        <v/>
      </c>
      <c r="M11" s="10" t="s">
        <v>58</v>
      </c>
      <c r="N11" s="10">
        <v>100.0</v>
      </c>
      <c r="O11" s="10">
        <v>100.0</v>
      </c>
      <c r="P11" s="10">
        <v>125.0</v>
      </c>
      <c r="Q11" s="13">
        <v>2.0</v>
      </c>
      <c r="R11" s="13">
        <v>2.0</v>
      </c>
      <c r="S11" s="13">
        <v>0.0</v>
      </c>
    </row>
    <row r="12">
      <c r="A12" s="14" t="s">
        <v>44</v>
      </c>
      <c r="B12" s="14" t="s">
        <v>59</v>
      </c>
      <c r="C12" s="8" t="b">
        <v>0</v>
      </c>
      <c r="D12" s="22" t="s">
        <v>54</v>
      </c>
      <c r="E12" s="8" t="b">
        <v>0</v>
      </c>
      <c r="F12" s="15">
        <v>1.0</v>
      </c>
      <c r="G12" s="14" t="s">
        <v>57</v>
      </c>
      <c r="H12" s="25">
        <f>if(C12=true,min(0.9,if(E12=true,8*0.1*F12,8*0.1*B3)),0)</f>
        <v>0</v>
      </c>
      <c r="L12" s="24" t="str">
        <f t="shared" si="2"/>
        <v/>
      </c>
      <c r="M12" s="10" t="s">
        <v>60</v>
      </c>
      <c r="N12" s="10">
        <v>100.0</v>
      </c>
      <c r="O12" s="10">
        <v>125.0</v>
      </c>
      <c r="P12" s="10">
        <v>150.0</v>
      </c>
      <c r="Q12" s="13">
        <v>2.0</v>
      </c>
      <c r="R12" s="13">
        <v>2.0</v>
      </c>
      <c r="S12" s="13">
        <v>0.0</v>
      </c>
    </row>
    <row r="13">
      <c r="A13" s="14" t="s">
        <v>44</v>
      </c>
      <c r="B13" s="14" t="s">
        <v>61</v>
      </c>
      <c r="C13" s="8" t="b">
        <v>0</v>
      </c>
      <c r="D13" s="22" t="s">
        <v>54</v>
      </c>
      <c r="E13" s="8" t="b">
        <v>0</v>
      </c>
      <c r="F13" s="15">
        <v>1.0</v>
      </c>
      <c r="G13" s="14" t="s">
        <v>57</v>
      </c>
      <c r="H13" s="25">
        <f>if(C13=true,min(0.4,if(E13=true,0.25*F13,0.25*B3)),0)</f>
        <v>0</v>
      </c>
      <c r="L13" s="24" t="str">
        <f t="shared" si="2"/>
        <v/>
      </c>
      <c r="M13" s="10" t="s">
        <v>62</v>
      </c>
      <c r="N13" s="10">
        <v>100.0</v>
      </c>
      <c r="O13" s="10">
        <v>100.0</v>
      </c>
      <c r="P13" s="10">
        <v>125.0</v>
      </c>
      <c r="Q13" s="13">
        <v>2.0</v>
      </c>
      <c r="R13" s="13">
        <v>2.0</v>
      </c>
      <c r="S13" s="13">
        <v>0.0</v>
      </c>
    </row>
    <row r="14">
      <c r="A14" s="14" t="s">
        <v>52</v>
      </c>
      <c r="B14" s="14" t="s">
        <v>63</v>
      </c>
      <c r="C14" s="8" t="b">
        <v>0</v>
      </c>
      <c r="D14" s="22" t="s">
        <v>54</v>
      </c>
      <c r="E14" s="26" t="b">
        <v>0</v>
      </c>
      <c r="F14" s="15">
        <v>1.0</v>
      </c>
      <c r="G14" s="14" t="s">
        <v>18</v>
      </c>
      <c r="H14" s="25">
        <f>if(C14=true,1.5*if(E14=true,F14,B3),0)</f>
        <v>0</v>
      </c>
      <c r="L14" s="24" t="str">
        <f>if(countif(C14:C16,TRUE)&gt;1,"Warning: You cannot benefit from more than one Elemental Ward!","")</f>
        <v/>
      </c>
      <c r="M14" s="10" t="s">
        <v>64</v>
      </c>
      <c r="N14" s="10">
        <v>125.0</v>
      </c>
      <c r="O14" s="10">
        <v>100.0</v>
      </c>
      <c r="P14" s="10">
        <v>150.0</v>
      </c>
      <c r="Q14" s="13">
        <v>2.0</v>
      </c>
      <c r="R14" s="13">
        <v>2.0</v>
      </c>
      <c r="S14" s="13">
        <v>0.0</v>
      </c>
    </row>
    <row r="15">
      <c r="A15" s="14" t="s">
        <v>52</v>
      </c>
      <c r="B15" s="14" t="s">
        <v>65</v>
      </c>
      <c r="C15" s="8" t="b">
        <v>0</v>
      </c>
      <c r="D15" s="22" t="s">
        <v>54</v>
      </c>
      <c r="E15" s="26" t="b">
        <v>0</v>
      </c>
      <c r="F15" s="15">
        <v>1.0</v>
      </c>
      <c r="G15" s="14" t="s">
        <v>16</v>
      </c>
      <c r="H15" s="25">
        <f>if(C15=true,2*if(E15=true,F15,B3),0)</f>
        <v>0</v>
      </c>
      <c r="M15" s="10" t="s">
        <v>66</v>
      </c>
      <c r="N15" s="10">
        <v>100.0</v>
      </c>
      <c r="O15" s="10">
        <v>100.0</v>
      </c>
      <c r="P15" s="10">
        <v>225.0</v>
      </c>
      <c r="Q15" s="13">
        <v>2.0</v>
      </c>
      <c r="R15" s="13">
        <v>2.0</v>
      </c>
      <c r="S15" s="13">
        <v>0.0</v>
      </c>
    </row>
    <row r="16">
      <c r="A16" s="14" t="s">
        <v>52</v>
      </c>
      <c r="B16" s="14" t="s">
        <v>67</v>
      </c>
      <c r="C16" s="8" t="b">
        <v>0</v>
      </c>
      <c r="D16" s="22" t="s">
        <v>54</v>
      </c>
      <c r="E16" s="26" t="b">
        <v>0</v>
      </c>
      <c r="F16" s="15">
        <v>1.0</v>
      </c>
      <c r="G16" s="14" t="s">
        <v>17</v>
      </c>
      <c r="H16" s="25">
        <f>if(C16=true,if(E16=true,F16,B3),0)</f>
        <v>0</v>
      </c>
      <c r="M16" s="10" t="s">
        <v>68</v>
      </c>
      <c r="N16" s="10">
        <v>100.0</v>
      </c>
      <c r="O16" s="10">
        <v>100.0</v>
      </c>
      <c r="P16" s="10">
        <v>300.0</v>
      </c>
      <c r="Q16" s="13">
        <v>2.0</v>
      </c>
      <c r="R16" s="13">
        <v>2.0</v>
      </c>
      <c r="S16" s="13">
        <v>0.0</v>
      </c>
    </row>
    <row r="17">
      <c r="A17" s="14" t="s">
        <v>52</v>
      </c>
      <c r="B17" s="14" t="s">
        <v>69</v>
      </c>
      <c r="C17" s="8" t="b">
        <v>0</v>
      </c>
      <c r="D17" s="22" t="s">
        <v>54</v>
      </c>
      <c r="E17" s="26" t="b">
        <v>0</v>
      </c>
      <c r="F17" s="15">
        <v>1.0</v>
      </c>
      <c r="G17" s="14" t="s">
        <v>18</v>
      </c>
      <c r="H17" s="25">
        <f>if(C17=true,3.5*if(E17=true,F17,B3),0)</f>
        <v>0</v>
      </c>
      <c r="M17" s="10" t="s">
        <v>70</v>
      </c>
      <c r="N17" s="10">
        <v>100.0</v>
      </c>
      <c r="O17" s="10">
        <v>100.0</v>
      </c>
      <c r="P17" s="10">
        <v>300.0</v>
      </c>
      <c r="Q17" s="13">
        <v>2.0</v>
      </c>
      <c r="R17" s="13">
        <v>2.0</v>
      </c>
      <c r="S17" s="13">
        <v>0.0</v>
      </c>
    </row>
    <row r="18">
      <c r="A18" s="14" t="s">
        <v>58</v>
      </c>
      <c r="B18" s="14" t="s">
        <v>71</v>
      </c>
      <c r="C18" s="8" t="b">
        <v>0</v>
      </c>
      <c r="D18" s="15">
        <v>0.0</v>
      </c>
      <c r="E18" s="26" t="b">
        <v>0</v>
      </c>
      <c r="F18" s="15">
        <v>1.0</v>
      </c>
      <c r="G18" s="14" t="s">
        <v>57</v>
      </c>
      <c r="H18" s="25">
        <f>if(C18=true,if(E18=true,D18*min(0.9,0.85*F18)+(1-D18)*(min(0.5,0.4*F18)),D18*min(0.9,0.85*B3)+(1-D18)*(min(0.5,0.4*B3))),0)</f>
        <v>0</v>
      </c>
      <c r="L18" s="24" t="str">
        <f>if(C18=true,if(L$3=A18,"","Warning: You have selected an ability which cannot be used with the chosen frame!"),"")</f>
        <v/>
      </c>
      <c r="M18" s="10" t="s">
        <v>72</v>
      </c>
      <c r="N18" s="10">
        <v>100.0</v>
      </c>
      <c r="O18" s="10">
        <v>100.0</v>
      </c>
      <c r="P18" s="10">
        <v>250.0</v>
      </c>
      <c r="Q18" s="13">
        <v>2.0</v>
      </c>
      <c r="R18" s="13">
        <v>2.0</v>
      </c>
      <c r="S18" s="13">
        <v>0.0</v>
      </c>
    </row>
    <row r="19">
      <c r="A19" s="14" t="s">
        <v>62</v>
      </c>
      <c r="B19" s="14" t="s">
        <v>73</v>
      </c>
      <c r="C19" s="8" t="b">
        <v>0</v>
      </c>
      <c r="D19" s="22" t="s">
        <v>54</v>
      </c>
      <c r="E19" s="8" t="b">
        <v>0</v>
      </c>
      <c r="F19" s="15">
        <v>1.0</v>
      </c>
      <c r="G19" s="14" t="s">
        <v>57</v>
      </c>
      <c r="H19" s="25">
        <f>if(C19=true,1-0.5/if(E19=true,F19,B3),0)</f>
        <v>0</v>
      </c>
      <c r="M19" s="10" t="s">
        <v>74</v>
      </c>
      <c r="N19" s="10">
        <v>100.0</v>
      </c>
      <c r="O19" s="10">
        <v>150.0</v>
      </c>
      <c r="P19" s="10">
        <v>300.0</v>
      </c>
      <c r="Q19" s="13">
        <v>2.0</v>
      </c>
      <c r="R19" s="13">
        <v>2.0</v>
      </c>
      <c r="S19" s="13">
        <v>0.0</v>
      </c>
    </row>
    <row r="20">
      <c r="A20" s="14" t="s">
        <v>75</v>
      </c>
      <c r="B20" s="14" t="s">
        <v>76</v>
      </c>
      <c r="C20" s="26" t="b">
        <v>0</v>
      </c>
      <c r="D20" s="22" t="s">
        <v>54</v>
      </c>
      <c r="E20" s="26" t="b">
        <v>0</v>
      </c>
      <c r="F20" s="15">
        <v>1.0</v>
      </c>
      <c r="G20" s="14" t="s">
        <v>57</v>
      </c>
      <c r="H20" s="25">
        <f>if(C20=true,min(0.9,0.7*if(E20=true,F20,B3)),0)</f>
        <v>0</v>
      </c>
      <c r="M20" s="10" t="s">
        <v>77</v>
      </c>
      <c r="N20" s="10">
        <v>100.0</v>
      </c>
      <c r="O20" s="10">
        <v>175.0</v>
      </c>
      <c r="P20" s="10">
        <v>300.0</v>
      </c>
      <c r="Q20" s="13">
        <v>2.0</v>
      </c>
      <c r="R20" s="13">
        <v>2.0</v>
      </c>
      <c r="S20" s="13">
        <v>0.0</v>
      </c>
    </row>
    <row r="21">
      <c r="A21" s="14" t="s">
        <v>78</v>
      </c>
      <c r="B21" s="14" t="s">
        <v>79</v>
      </c>
      <c r="C21" s="8" t="b">
        <v>0</v>
      </c>
      <c r="D21" s="15">
        <v>0.0</v>
      </c>
      <c r="E21" s="26" t="b">
        <v>0</v>
      </c>
      <c r="F21" s="15">
        <v>1.0</v>
      </c>
      <c r="G21" s="14" t="s">
        <v>57</v>
      </c>
      <c r="H21" s="25">
        <f>if(C21=true,if(E21=true,min(1,0.2*F21)+(1-min(1,0.2*F21))*D21,min(1,0.2*B3)+(1-min(1,0.2*B3))*D21),0)</f>
        <v>0</v>
      </c>
      <c r="L21" s="24" t="str">
        <f t="shared" ref="L21:L23" si="3">if(C21=true,if(L$3=A21,"","Warning: You have selected an ability which cannot be used with the chosen frame!"),"")</f>
        <v/>
      </c>
      <c r="M21" s="10" t="s">
        <v>75</v>
      </c>
      <c r="N21" s="10">
        <v>100.0</v>
      </c>
      <c r="O21" s="10">
        <v>100.0</v>
      </c>
      <c r="P21" s="10">
        <v>150.0</v>
      </c>
      <c r="Q21" s="13">
        <v>2.0</v>
      </c>
      <c r="R21" s="13">
        <v>2.0</v>
      </c>
      <c r="S21" s="13">
        <v>0.0</v>
      </c>
    </row>
    <row r="22">
      <c r="A22" s="14" t="s">
        <v>80</v>
      </c>
      <c r="B22" s="14" t="s">
        <v>81</v>
      </c>
      <c r="C22" s="26" t="b">
        <v>0</v>
      </c>
      <c r="D22" s="8">
        <v>0.0</v>
      </c>
      <c r="E22" s="22" t="s">
        <v>54</v>
      </c>
      <c r="F22" s="22" t="s">
        <v>54</v>
      </c>
      <c r="G22" s="14" t="s">
        <v>18</v>
      </c>
      <c r="H22" s="27">
        <f>if(C22=true,50*D22,0)</f>
        <v>0</v>
      </c>
      <c r="L22" s="24" t="str">
        <f t="shared" si="3"/>
        <v/>
      </c>
      <c r="M22" s="10" t="s">
        <v>82</v>
      </c>
      <c r="N22" s="10">
        <v>120.0</v>
      </c>
      <c r="O22" s="10">
        <v>100.0</v>
      </c>
      <c r="P22" s="10">
        <v>190.0</v>
      </c>
      <c r="Q22" s="13">
        <v>2.0</v>
      </c>
      <c r="R22" s="13">
        <v>2.0</v>
      </c>
      <c r="S22" s="13">
        <v>0.0</v>
      </c>
    </row>
    <row r="23">
      <c r="A23" s="14" t="s">
        <v>83</v>
      </c>
      <c r="B23" s="14" t="s">
        <v>84</v>
      </c>
      <c r="C23" s="8" t="b">
        <v>0</v>
      </c>
      <c r="D23" s="22" t="s">
        <v>54</v>
      </c>
      <c r="E23" s="22" t="s">
        <v>54</v>
      </c>
      <c r="F23" s="22" t="s">
        <v>54</v>
      </c>
      <c r="G23" s="14" t="s">
        <v>18</v>
      </c>
      <c r="H23" s="25">
        <f>if(C23=true,100%,0)</f>
        <v>0</v>
      </c>
      <c r="L23" s="24" t="str">
        <f t="shared" si="3"/>
        <v/>
      </c>
      <c r="M23" s="10" t="s">
        <v>85</v>
      </c>
      <c r="N23" s="10">
        <v>100.0</v>
      </c>
      <c r="O23" s="10">
        <v>100.0</v>
      </c>
      <c r="P23" s="10">
        <v>300.0</v>
      </c>
      <c r="Q23" s="13">
        <v>2.0</v>
      </c>
      <c r="R23" s="13">
        <v>2.0</v>
      </c>
      <c r="S23" s="13">
        <v>0.0</v>
      </c>
    </row>
    <row r="24">
      <c r="A24" s="14" t="s">
        <v>86</v>
      </c>
      <c r="B24" s="14" t="s">
        <v>87</v>
      </c>
      <c r="C24" s="26" t="b">
        <v>0</v>
      </c>
      <c r="D24" s="22" t="s">
        <v>54</v>
      </c>
      <c r="E24" s="26" t="b">
        <v>0</v>
      </c>
      <c r="F24" s="15">
        <v>1.0</v>
      </c>
      <c r="G24" s="14" t="s">
        <v>57</v>
      </c>
      <c r="H24" s="25">
        <f>if(C24=true,min(1,0.5*if(E24=true,F24,B3)),0)</f>
        <v>0</v>
      </c>
      <c r="M24" s="10" t="s">
        <v>78</v>
      </c>
      <c r="N24" s="10">
        <v>100.0</v>
      </c>
      <c r="O24" s="10">
        <v>150.0</v>
      </c>
      <c r="P24" s="10">
        <v>175.0</v>
      </c>
      <c r="Q24" s="13">
        <v>2.0</v>
      </c>
      <c r="R24" s="13">
        <v>2.0</v>
      </c>
      <c r="S24" s="13">
        <v>0.0</v>
      </c>
    </row>
    <row r="25">
      <c r="A25" s="14" t="s">
        <v>88</v>
      </c>
      <c r="B25" s="14" t="s">
        <v>89</v>
      </c>
      <c r="C25" s="8" t="b">
        <v>0</v>
      </c>
      <c r="D25" s="22" t="s">
        <v>54</v>
      </c>
      <c r="E25" s="26" t="b">
        <v>0</v>
      </c>
      <c r="F25" s="15">
        <v>1.0</v>
      </c>
      <c r="G25" s="14" t="s">
        <v>57</v>
      </c>
      <c r="H25" s="25">
        <f>if(C25=true,min(0.95,0.8*if(E25=true,F25,B3)),0)</f>
        <v>0</v>
      </c>
      <c r="L25" s="24" t="str">
        <f t="shared" ref="L25:L26" si="4">if(C25=true,if(L$3=A25,"","Warning: You have selected an ability which cannot be used with the chosen frame!"),"")</f>
        <v/>
      </c>
      <c r="M25" s="10" t="s">
        <v>80</v>
      </c>
      <c r="N25" s="10">
        <v>350.0</v>
      </c>
      <c r="O25" s="10">
        <v>25.0</v>
      </c>
      <c r="P25" s="10">
        <v>350.0</v>
      </c>
      <c r="Q25" s="13">
        <v>2.0</v>
      </c>
      <c r="R25" s="13">
        <v>2.0</v>
      </c>
      <c r="S25" s="13">
        <v>0.0</v>
      </c>
    </row>
    <row r="26">
      <c r="A26" s="14" t="s">
        <v>88</v>
      </c>
      <c r="B26" s="14" t="s">
        <v>90</v>
      </c>
      <c r="C26" s="8" t="b">
        <v>0</v>
      </c>
      <c r="D26" s="22" t="s">
        <v>54</v>
      </c>
      <c r="E26" s="22" t="s">
        <v>54</v>
      </c>
      <c r="F26" s="22" t="s">
        <v>54</v>
      </c>
      <c r="G26" s="14" t="s">
        <v>16</v>
      </c>
      <c r="H26" s="27">
        <f>if(C26=true,50,0)</f>
        <v>0</v>
      </c>
      <c r="L26" s="24" t="str">
        <f t="shared" si="4"/>
        <v/>
      </c>
      <c r="M26" s="10" t="s">
        <v>91</v>
      </c>
      <c r="N26" s="10">
        <v>100.0</v>
      </c>
      <c r="O26" s="10">
        <v>150.0</v>
      </c>
      <c r="P26" s="10">
        <v>175.0</v>
      </c>
      <c r="Q26" s="13">
        <v>2.0</v>
      </c>
      <c r="R26" s="13">
        <v>2.0</v>
      </c>
      <c r="S26" s="13">
        <v>0.0</v>
      </c>
    </row>
    <row r="27">
      <c r="A27" s="14" t="s">
        <v>92</v>
      </c>
      <c r="B27" s="14" t="s">
        <v>93</v>
      </c>
      <c r="C27" s="8" t="b">
        <v>0</v>
      </c>
      <c r="D27" s="8" t="s">
        <v>92</v>
      </c>
      <c r="E27" s="26" t="b">
        <v>0</v>
      </c>
      <c r="F27" s="15">
        <v>1.0</v>
      </c>
      <c r="G27" s="14" t="s">
        <v>57</v>
      </c>
      <c r="H27" s="25">
        <f>if(C27=true,min(if(D27="Mirage",0.95,0.75),0.75*if(E27=true,F27,B3)),0)</f>
        <v>0</v>
      </c>
      <c r="L27" s="24" t="str">
        <f>if(C27=true,if(L$3=A27,"",if(A27=D27,"Note: Currently assuming a Mirage is using Total Eclipse.","")),"")</f>
        <v/>
      </c>
      <c r="M27" s="10" t="s">
        <v>94</v>
      </c>
      <c r="N27" s="10">
        <v>75.0</v>
      </c>
      <c r="O27" s="10">
        <v>450.0</v>
      </c>
      <c r="P27" s="10">
        <v>300.0</v>
      </c>
      <c r="Q27" s="13">
        <v>2.5</v>
      </c>
      <c r="R27" s="13">
        <v>2.0</v>
      </c>
      <c r="S27" s="13">
        <v>0.0</v>
      </c>
    </row>
    <row r="28">
      <c r="A28" s="14" t="s">
        <v>95</v>
      </c>
      <c r="B28" s="14" t="s">
        <v>96</v>
      </c>
      <c r="C28" s="8" t="b">
        <v>0</v>
      </c>
      <c r="D28" s="8">
        <v>0.0</v>
      </c>
      <c r="E28" s="26" t="b">
        <v>0</v>
      </c>
      <c r="F28" s="15">
        <v>1.0</v>
      </c>
      <c r="G28" s="14" t="s">
        <v>57</v>
      </c>
      <c r="H28" s="25">
        <f>if(C28=true,min(0.9,0.06*D28*if(E28=true,F28,B3)),0)</f>
        <v>0</v>
      </c>
      <c r="L28" s="24" t="str">
        <f>if(C28=true,if(L$3=A28,"","Warning: You have selected an ability which cannot be used with the chosen frame!"),"")</f>
        <v/>
      </c>
      <c r="M28" s="10" t="s">
        <v>97</v>
      </c>
      <c r="N28" s="10">
        <v>100.0</v>
      </c>
      <c r="O28" s="10">
        <v>125.0</v>
      </c>
      <c r="P28" s="10">
        <v>225.0</v>
      </c>
      <c r="Q28" s="13">
        <v>2.0</v>
      </c>
      <c r="R28" s="13">
        <v>2.0</v>
      </c>
      <c r="S28" s="13">
        <v>0.0</v>
      </c>
    </row>
    <row r="29">
      <c r="A29" s="14" t="s">
        <v>98</v>
      </c>
      <c r="B29" s="14" t="s">
        <v>99</v>
      </c>
      <c r="C29" s="8" t="b">
        <v>0</v>
      </c>
      <c r="D29" s="22" t="s">
        <v>54</v>
      </c>
      <c r="E29" s="22" t="s">
        <v>54</v>
      </c>
      <c r="F29" s="22" t="s">
        <v>54</v>
      </c>
      <c r="G29" s="14" t="s">
        <v>57</v>
      </c>
      <c r="H29" s="25">
        <f>if(C29=true,0.9,0)</f>
        <v>0</v>
      </c>
      <c r="M29" s="10" t="s">
        <v>100</v>
      </c>
      <c r="N29" s="10">
        <v>100.0</v>
      </c>
      <c r="O29" s="10">
        <v>175.0</v>
      </c>
      <c r="P29" s="10">
        <v>275.0</v>
      </c>
      <c r="Q29" s="13">
        <v>2.0</v>
      </c>
      <c r="R29" s="13">
        <v>2.0</v>
      </c>
      <c r="S29" s="13">
        <v>0.0</v>
      </c>
    </row>
    <row r="30">
      <c r="A30" s="14" t="s">
        <v>101</v>
      </c>
      <c r="B30" s="14" t="s">
        <v>102</v>
      </c>
      <c r="C30" s="26" t="b">
        <v>0</v>
      </c>
      <c r="D30" s="22" t="s">
        <v>54</v>
      </c>
      <c r="E30" s="26" t="b">
        <v>0</v>
      </c>
      <c r="F30" s="15">
        <v>1.0</v>
      </c>
      <c r="G30" s="14" t="s">
        <v>57</v>
      </c>
      <c r="H30" s="25">
        <f>if(C30=true,min(0.9,0.5*if(E30=true,F30,B3)),0)</f>
        <v>0</v>
      </c>
      <c r="L30" s="24" t="str">
        <f>if(C30=true,if(L$3=A30,"","Warning: You have selected an ability which cannot be used with the chosen frame!"),"")</f>
        <v/>
      </c>
      <c r="M30" s="10" t="s">
        <v>83</v>
      </c>
      <c r="N30" s="10">
        <v>550.0</v>
      </c>
      <c r="O30" s="10">
        <v>0.0</v>
      </c>
      <c r="P30" s="10">
        <v>225.0</v>
      </c>
      <c r="Q30" s="13">
        <v>3.0</v>
      </c>
      <c r="R30" s="13">
        <v>0.0</v>
      </c>
      <c r="S30" s="13">
        <v>0.0</v>
      </c>
    </row>
    <row r="31">
      <c r="A31" s="14" t="s">
        <v>103</v>
      </c>
      <c r="B31" s="14" t="s">
        <v>104</v>
      </c>
      <c r="C31" s="8" t="b">
        <v>0</v>
      </c>
      <c r="D31" s="22" t="s">
        <v>54</v>
      </c>
      <c r="E31" s="26" t="b">
        <v>0</v>
      </c>
      <c r="F31" s="15">
        <v>1.0</v>
      </c>
      <c r="G31" s="14" t="s">
        <v>57</v>
      </c>
      <c r="H31" s="25">
        <f>if(C31=true,min(1,0.05*round(6*if(E31=true,F31,B4),0)),0)</f>
        <v>0</v>
      </c>
      <c r="M31" s="10" t="s">
        <v>105</v>
      </c>
      <c r="N31" s="10">
        <v>575.0</v>
      </c>
      <c r="O31" s="10">
        <v>0.0</v>
      </c>
      <c r="P31" s="10">
        <v>225.0</v>
      </c>
      <c r="Q31" s="13">
        <v>3.0</v>
      </c>
      <c r="R31" s="13">
        <v>0.0</v>
      </c>
      <c r="S31" s="13">
        <v>0.0</v>
      </c>
    </row>
    <row r="32">
      <c r="A32" s="14" t="s">
        <v>106</v>
      </c>
      <c r="B32" s="14" t="s">
        <v>107</v>
      </c>
      <c r="C32" s="8" t="b">
        <v>0</v>
      </c>
      <c r="D32" s="22" t="s">
        <v>54</v>
      </c>
      <c r="E32" s="26" t="b">
        <v>0</v>
      </c>
      <c r="F32" s="15">
        <v>1.0</v>
      </c>
      <c r="G32" s="14" t="s">
        <v>18</v>
      </c>
      <c r="H32" s="27">
        <f>if(C32=true,250*if(E32=true,F32,B3),0)</f>
        <v>0</v>
      </c>
      <c r="M32" s="10" t="s">
        <v>108</v>
      </c>
      <c r="N32" s="10">
        <v>75.0</v>
      </c>
      <c r="O32" s="10">
        <v>100.0</v>
      </c>
      <c r="P32" s="10">
        <v>100.0</v>
      </c>
      <c r="Q32" s="13">
        <v>2.0</v>
      </c>
      <c r="R32" s="13">
        <v>2.0</v>
      </c>
      <c r="S32" s="13">
        <v>0.0</v>
      </c>
    </row>
    <row r="33">
      <c r="A33" s="14" t="s">
        <v>106</v>
      </c>
      <c r="B33" s="14" t="s">
        <v>109</v>
      </c>
      <c r="C33" s="8" t="b">
        <v>0</v>
      </c>
      <c r="D33" s="22" t="s">
        <v>54</v>
      </c>
      <c r="E33" s="26" t="b">
        <v>0</v>
      </c>
      <c r="F33" s="15">
        <v>1.0</v>
      </c>
      <c r="G33" s="14" t="s">
        <v>18</v>
      </c>
      <c r="H33" s="27">
        <f>if(C33=true,200*if(E33=true,F33,B3),0)</f>
        <v>0</v>
      </c>
      <c r="M33" s="10" t="s">
        <v>110</v>
      </c>
      <c r="N33" s="10">
        <v>75.0</v>
      </c>
      <c r="O33" s="10">
        <v>150.0</v>
      </c>
      <c r="P33" s="10">
        <v>125.0</v>
      </c>
      <c r="Q33" s="13">
        <v>2.0</v>
      </c>
      <c r="R33" s="13">
        <v>2.0</v>
      </c>
      <c r="S33" s="13">
        <v>0.0</v>
      </c>
    </row>
    <row r="34">
      <c r="A34" s="14" t="s">
        <v>111</v>
      </c>
      <c r="B34" s="14" t="s">
        <v>112</v>
      </c>
      <c r="C34" s="8" t="b">
        <v>0</v>
      </c>
      <c r="D34" s="22" t="s">
        <v>54</v>
      </c>
      <c r="E34" s="26" t="b">
        <v>0</v>
      </c>
      <c r="F34" s="15">
        <v>1.0</v>
      </c>
      <c r="G34" s="14" t="s">
        <v>18</v>
      </c>
      <c r="H34" s="25">
        <f>if(C34=true,0.35*if(E34=true,F34,B3),0)</f>
        <v>0</v>
      </c>
      <c r="M34" s="10" t="s">
        <v>113</v>
      </c>
      <c r="N34" s="10">
        <v>125.0</v>
      </c>
      <c r="O34" s="10">
        <v>100.0</v>
      </c>
      <c r="P34" s="10">
        <v>275.0</v>
      </c>
      <c r="Q34" s="13">
        <v>2.0</v>
      </c>
      <c r="R34" s="13">
        <v>2.0</v>
      </c>
      <c r="S34" s="13">
        <v>0.0</v>
      </c>
    </row>
    <row r="35">
      <c r="A35" s="14" t="s">
        <v>114</v>
      </c>
      <c r="B35" s="14" t="s">
        <v>115</v>
      </c>
      <c r="C35" s="8" t="b">
        <v>0</v>
      </c>
      <c r="D35" s="8">
        <v>0.0</v>
      </c>
      <c r="E35" s="8" t="b">
        <v>0</v>
      </c>
      <c r="F35" s="15">
        <v>1.0</v>
      </c>
      <c r="G35" s="14" t="s">
        <v>18</v>
      </c>
      <c r="H35" s="25">
        <f>if(C35=true,0.5*D35*if(E35=true,F35,B3),0)</f>
        <v>0</v>
      </c>
      <c r="L35" s="24" t="str">
        <f>if(C35=true,if(L$3=A35,"","Warning: You have selected an ability which cannot be used with the chosen frame!"),"")</f>
        <v/>
      </c>
      <c r="M35" s="10" t="s">
        <v>116</v>
      </c>
      <c r="N35" s="10">
        <v>200.0</v>
      </c>
      <c r="O35" s="10">
        <v>100.0</v>
      </c>
      <c r="P35" s="10">
        <v>450.0</v>
      </c>
      <c r="Q35" s="13">
        <v>2.0</v>
      </c>
      <c r="R35" s="13">
        <v>2.0</v>
      </c>
      <c r="S35" s="13">
        <v>0.5</v>
      </c>
    </row>
    <row r="36">
      <c r="A36" s="14" t="s">
        <v>117</v>
      </c>
      <c r="B36" s="14" t="s">
        <v>118</v>
      </c>
      <c r="C36" s="8" t="b">
        <v>0</v>
      </c>
      <c r="D36" s="22" t="s">
        <v>54</v>
      </c>
      <c r="E36" s="22" t="s">
        <v>54</v>
      </c>
      <c r="F36" s="22" t="s">
        <v>54</v>
      </c>
      <c r="G36" s="14" t="s">
        <v>57</v>
      </c>
      <c r="H36" s="25">
        <f>if(C36=true,0.5,0)</f>
        <v>0</v>
      </c>
      <c r="M36" s="10" t="s">
        <v>119</v>
      </c>
      <c r="N36" s="10">
        <v>100.0</v>
      </c>
      <c r="O36" s="10">
        <v>75.0</v>
      </c>
      <c r="P36" s="10">
        <v>100.0</v>
      </c>
      <c r="Q36" s="13">
        <v>2.0</v>
      </c>
      <c r="R36" s="13">
        <v>2.0</v>
      </c>
      <c r="S36" s="13">
        <v>0.0</v>
      </c>
    </row>
    <row r="37">
      <c r="A37" s="14" t="s">
        <v>120</v>
      </c>
      <c r="B37" s="14" t="s">
        <v>121</v>
      </c>
      <c r="C37" s="8" t="b">
        <v>0</v>
      </c>
      <c r="D37" s="22" t="s">
        <v>54</v>
      </c>
      <c r="E37" s="22" t="s">
        <v>54</v>
      </c>
      <c r="F37" s="22" t="s">
        <v>54</v>
      </c>
      <c r="G37" s="14" t="s">
        <v>57</v>
      </c>
      <c r="H37" s="25">
        <f>if(C37=true,0.75,0)</f>
        <v>0</v>
      </c>
      <c r="L37" s="24" t="str">
        <f t="shared" ref="L37:L38" si="5">if(C37=true,if(L$3=A37,"","Warning: You have selected an ability which cannot be used with the chosen frame!"),"")</f>
        <v/>
      </c>
      <c r="M37" s="10" t="s">
        <v>122</v>
      </c>
      <c r="N37" s="10">
        <v>100.0</v>
      </c>
      <c r="O37" s="10">
        <v>100.0</v>
      </c>
      <c r="P37" s="10">
        <v>125.0</v>
      </c>
      <c r="Q37" s="13">
        <v>2.0</v>
      </c>
      <c r="R37" s="13">
        <v>2.0</v>
      </c>
      <c r="S37" s="13">
        <v>0.0</v>
      </c>
    </row>
    <row r="38">
      <c r="A38" s="14" t="s">
        <v>120</v>
      </c>
      <c r="B38" s="14" t="s">
        <v>123</v>
      </c>
      <c r="C38" s="8" t="b">
        <v>0</v>
      </c>
      <c r="D38" s="22" t="s">
        <v>54</v>
      </c>
      <c r="E38" s="8" t="b">
        <v>0</v>
      </c>
      <c r="F38" s="15">
        <v>1.0</v>
      </c>
      <c r="G38" s="14" t="s">
        <v>57</v>
      </c>
      <c r="H38" s="25">
        <f>if(C38=true,min(0.75,0.5*if(E38=true,F38,B3)),0)</f>
        <v>0</v>
      </c>
      <c r="L38" s="24" t="str">
        <f t="shared" si="5"/>
        <v/>
      </c>
      <c r="M38" s="10" t="s">
        <v>86</v>
      </c>
      <c r="N38" s="10">
        <v>75.0</v>
      </c>
      <c r="O38" s="10">
        <v>75.0</v>
      </c>
      <c r="P38" s="10">
        <v>100.0</v>
      </c>
      <c r="Q38" s="13">
        <v>2.0</v>
      </c>
      <c r="R38" s="13">
        <v>2.0</v>
      </c>
      <c r="S38" s="13">
        <v>0.0</v>
      </c>
    </row>
    <row r="39">
      <c r="A39" s="14" t="s">
        <v>124</v>
      </c>
      <c r="B39" s="14" t="s">
        <v>125</v>
      </c>
      <c r="C39" s="26" t="b">
        <v>0</v>
      </c>
      <c r="D39" s="22" t="s">
        <v>54</v>
      </c>
      <c r="E39" s="26" t="b">
        <v>0</v>
      </c>
      <c r="F39" s="15">
        <v>1.0</v>
      </c>
      <c r="G39" s="14" t="s">
        <v>18</v>
      </c>
      <c r="H39" s="25">
        <f>if(C39=true,0.5*if(E39=true,F39,B3),0)</f>
        <v>0</v>
      </c>
      <c r="M39" s="10" t="s">
        <v>126</v>
      </c>
      <c r="N39" s="10">
        <v>75.0</v>
      </c>
      <c r="O39" s="10">
        <v>75.0</v>
      </c>
      <c r="P39" s="10">
        <v>125.0</v>
      </c>
      <c r="Q39" s="13">
        <v>2.0</v>
      </c>
      <c r="R39" s="13">
        <v>2.0</v>
      </c>
      <c r="S39" s="13">
        <v>0.0</v>
      </c>
    </row>
    <row r="40">
      <c r="A40" s="14" t="s">
        <v>127</v>
      </c>
      <c r="B40" s="14" t="s">
        <v>128</v>
      </c>
      <c r="C40" s="8" t="b">
        <v>0</v>
      </c>
      <c r="D40" s="8">
        <v>0.0</v>
      </c>
      <c r="E40" s="22" t="s">
        <v>54</v>
      </c>
      <c r="F40" s="22" t="s">
        <v>54</v>
      </c>
      <c r="G40" s="14" t="s">
        <v>18</v>
      </c>
      <c r="H40" s="27">
        <f>if(C40=true,D40,0)</f>
        <v>0</v>
      </c>
      <c r="M40" s="10" t="s">
        <v>129</v>
      </c>
      <c r="N40" s="10">
        <v>75.0</v>
      </c>
      <c r="O40" s="10">
        <v>150.0</v>
      </c>
      <c r="P40" s="10">
        <v>100.0</v>
      </c>
      <c r="Q40" s="13">
        <v>2.0</v>
      </c>
      <c r="R40" s="13">
        <v>2.0</v>
      </c>
      <c r="S40" s="13">
        <v>0.0</v>
      </c>
    </row>
    <row r="41">
      <c r="A41" s="14" t="s">
        <v>130</v>
      </c>
      <c r="B41" s="14" t="s">
        <v>131</v>
      </c>
      <c r="C41" s="8" t="b">
        <v>0</v>
      </c>
      <c r="D41" s="22" t="s">
        <v>54</v>
      </c>
      <c r="E41" s="26" t="b">
        <v>0</v>
      </c>
      <c r="F41" s="15">
        <v>1.0</v>
      </c>
      <c r="G41" s="14" t="s">
        <v>16</v>
      </c>
      <c r="H41" s="27">
        <f>if(C41=true,300*if(E41=true,F41,B3),0)</f>
        <v>0</v>
      </c>
      <c r="M41" s="10" t="s">
        <v>132</v>
      </c>
      <c r="N41" s="10">
        <v>100.0</v>
      </c>
      <c r="O41" s="10">
        <v>150.0</v>
      </c>
      <c r="P41" s="10">
        <v>125.0</v>
      </c>
      <c r="Q41" s="13">
        <v>2.0</v>
      </c>
      <c r="R41" s="13">
        <v>2.0</v>
      </c>
      <c r="S41" s="13">
        <v>0.0</v>
      </c>
    </row>
    <row r="42">
      <c r="A42" s="14" t="s">
        <v>133</v>
      </c>
      <c r="B42" s="14" t="s">
        <v>134</v>
      </c>
      <c r="C42" s="8" t="b">
        <v>0</v>
      </c>
      <c r="D42" s="22" t="str">
        <f>if(L3="Wukong","Wukong","Subsumed")</f>
        <v>Subsumed</v>
      </c>
      <c r="E42" s="22" t="s">
        <v>54</v>
      </c>
      <c r="F42" s="22" t="s">
        <v>54</v>
      </c>
      <c r="G42" s="14" t="s">
        <v>18</v>
      </c>
      <c r="H42" s="27">
        <f>if(C42=true,if(D42="Wukong",1500,750),0)</f>
        <v>0</v>
      </c>
      <c r="M42" s="10" t="s">
        <v>88</v>
      </c>
      <c r="N42" s="10">
        <v>125.0</v>
      </c>
      <c r="O42" s="10">
        <v>75.0</v>
      </c>
      <c r="P42" s="10">
        <v>100.0</v>
      </c>
      <c r="Q42" s="13">
        <v>2.0</v>
      </c>
      <c r="R42" s="13">
        <v>2.0</v>
      </c>
      <c r="S42" s="13">
        <v>0.0</v>
      </c>
    </row>
    <row r="43">
      <c r="A43" s="14" t="s">
        <v>135</v>
      </c>
      <c r="B43" s="14" t="s">
        <v>136</v>
      </c>
      <c r="C43" s="8" t="b">
        <v>0</v>
      </c>
      <c r="D43" s="22" t="s">
        <v>54</v>
      </c>
      <c r="E43" s="22" t="s">
        <v>54</v>
      </c>
      <c r="F43" s="22" t="s">
        <v>54</v>
      </c>
      <c r="G43" s="14" t="s">
        <v>57</v>
      </c>
      <c r="H43" s="25">
        <f>if(C43=true,0.75,0)</f>
        <v>0</v>
      </c>
      <c r="L43" s="24" t="str">
        <f>if(C43=true,if(L$3=A43,"","Warning: You have selected an ability which cannot be used with the chosen frame!"),"")</f>
        <v/>
      </c>
      <c r="M43" s="10" t="s">
        <v>137</v>
      </c>
      <c r="N43" s="10">
        <v>135.0</v>
      </c>
      <c r="O43" s="10">
        <v>75.0</v>
      </c>
      <c r="P43" s="10">
        <v>125.0</v>
      </c>
      <c r="Q43" s="13">
        <v>2.0</v>
      </c>
      <c r="R43" s="13">
        <v>2.0</v>
      </c>
      <c r="S43" s="13">
        <v>0.0</v>
      </c>
    </row>
    <row r="44">
      <c r="M44" s="10" t="s">
        <v>92</v>
      </c>
      <c r="N44" s="10">
        <v>80.0</v>
      </c>
      <c r="O44" s="10">
        <v>80.0</v>
      </c>
      <c r="P44" s="10">
        <v>100.0</v>
      </c>
      <c r="Q44" s="13">
        <v>2.0</v>
      </c>
      <c r="R44" s="13">
        <v>2.0</v>
      </c>
      <c r="S44" s="13">
        <v>0.0</v>
      </c>
    </row>
    <row r="45">
      <c r="A45" s="7" t="s">
        <v>138</v>
      </c>
      <c r="B45" s="28"/>
      <c r="C45" s="28"/>
      <c r="D45" s="28"/>
      <c r="E45" s="28"/>
      <c r="F45" s="28"/>
      <c r="G45" s="28"/>
      <c r="H45" s="28"/>
      <c r="M45" s="10" t="s">
        <v>139</v>
      </c>
      <c r="N45" s="10">
        <v>80.0</v>
      </c>
      <c r="O45" s="10">
        <v>110.0</v>
      </c>
      <c r="P45" s="10">
        <v>175.0</v>
      </c>
      <c r="Q45" s="13">
        <v>2.0</v>
      </c>
      <c r="R45" s="13">
        <v>2.0</v>
      </c>
      <c r="S45" s="13">
        <v>0.0</v>
      </c>
    </row>
    <row r="46">
      <c r="A46" s="7" t="s">
        <v>140</v>
      </c>
      <c r="B46" s="7" t="s">
        <v>141</v>
      </c>
      <c r="C46" s="20" t="s">
        <v>142</v>
      </c>
      <c r="D46" s="20" t="s">
        <v>143</v>
      </c>
      <c r="E46" s="21" t="s">
        <v>144</v>
      </c>
      <c r="F46" s="21" t="s">
        <v>145</v>
      </c>
      <c r="G46" s="21" t="s">
        <v>146</v>
      </c>
      <c r="H46" s="21" t="s">
        <v>147</v>
      </c>
      <c r="M46" s="10" t="s">
        <v>95</v>
      </c>
      <c r="N46" s="10">
        <v>100.0</v>
      </c>
      <c r="O46" s="10">
        <v>90.0</v>
      </c>
      <c r="P46" s="10">
        <v>100.0</v>
      </c>
      <c r="Q46" s="13">
        <v>2.0</v>
      </c>
      <c r="R46" s="13">
        <v>2.0</v>
      </c>
      <c r="S46" s="13">
        <v>0.0</v>
      </c>
    </row>
    <row r="47">
      <c r="A47" s="14" t="s">
        <v>148</v>
      </c>
      <c r="B47" s="14" t="s">
        <v>57</v>
      </c>
      <c r="C47" s="8">
        <v>0.0</v>
      </c>
      <c r="D47" s="22" t="s">
        <v>54</v>
      </c>
      <c r="E47" s="23"/>
      <c r="F47" s="23"/>
      <c r="G47" s="23"/>
      <c r="H47" s="25">
        <f>0.9*C47</f>
        <v>0</v>
      </c>
      <c r="L47" s="24" t="str">
        <f>if(sum(C48+C64+C71+C73)&gt;4,"Warning: You have selected too many auras!","")</f>
        <v/>
      </c>
      <c r="M47" s="10" t="s">
        <v>149</v>
      </c>
      <c r="N47" s="10">
        <v>100.0</v>
      </c>
      <c r="O47" s="10">
        <v>150.0</v>
      </c>
      <c r="P47" s="10">
        <v>125.0</v>
      </c>
      <c r="Q47" s="13">
        <v>2.0</v>
      </c>
      <c r="R47" s="13">
        <v>2.0</v>
      </c>
      <c r="S47" s="13">
        <v>0.0</v>
      </c>
    </row>
    <row r="48">
      <c r="A48" s="14" t="s">
        <v>150</v>
      </c>
      <c r="B48" s="14" t="s">
        <v>57</v>
      </c>
      <c r="C48" s="8">
        <v>0.0</v>
      </c>
      <c r="D48" s="29" t="s">
        <v>151</v>
      </c>
      <c r="E48" s="23"/>
      <c r="F48" s="23"/>
      <c r="G48" s="23"/>
      <c r="H48" s="25">
        <f>1-(1-0.24)^C48</f>
        <v>0</v>
      </c>
      <c r="M48" s="10" t="s">
        <v>98</v>
      </c>
      <c r="N48" s="10">
        <v>125.0</v>
      </c>
      <c r="O48" s="10">
        <v>50.0</v>
      </c>
      <c r="P48" s="10">
        <v>190.0</v>
      </c>
      <c r="Q48" s="13">
        <v>2.0</v>
      </c>
      <c r="R48" s="13">
        <v>2.0</v>
      </c>
      <c r="S48" s="13">
        <v>0.0</v>
      </c>
    </row>
    <row r="49">
      <c r="A49" s="14" t="s">
        <v>152</v>
      </c>
      <c r="B49" s="14" t="s">
        <v>57</v>
      </c>
      <c r="C49" s="8">
        <v>0.0</v>
      </c>
      <c r="D49" s="22" t="s">
        <v>54</v>
      </c>
      <c r="E49" s="23"/>
      <c r="F49" s="23"/>
      <c r="G49" s="23"/>
      <c r="H49" s="25">
        <f>0.12*C49</f>
        <v>0</v>
      </c>
      <c r="M49" s="10" t="s">
        <v>153</v>
      </c>
      <c r="N49" s="10">
        <v>125.0</v>
      </c>
      <c r="O49" s="10">
        <v>50.0</v>
      </c>
      <c r="P49" s="10">
        <v>250.0</v>
      </c>
      <c r="Q49" s="13">
        <v>2.0</v>
      </c>
      <c r="R49" s="13">
        <v>2.0</v>
      </c>
      <c r="S49" s="13">
        <v>0.0</v>
      </c>
    </row>
    <row r="50">
      <c r="A50" s="14" t="s">
        <v>154</v>
      </c>
      <c r="B50" s="14" t="s">
        <v>57</v>
      </c>
      <c r="C50" s="8">
        <v>0.0</v>
      </c>
      <c r="D50" s="22" t="s">
        <v>54</v>
      </c>
      <c r="E50" s="23"/>
      <c r="F50" s="23"/>
      <c r="G50" s="23"/>
      <c r="H50" s="25">
        <f>0.45*C50</f>
        <v>0</v>
      </c>
      <c r="L50" s="24" t="str">
        <f>if(L90&gt;9,"Warning: You have selected more mods than you can equip!",if(L90+L92=9,"Note: If you are using Proton Pulse, you have selected too many mods.",""))</f>
        <v/>
      </c>
      <c r="M50" s="10" t="s">
        <v>101</v>
      </c>
      <c r="N50" s="10">
        <v>150.0</v>
      </c>
      <c r="O50" s="10">
        <v>0.0</v>
      </c>
      <c r="P50" s="10">
        <v>300.0</v>
      </c>
      <c r="Q50" s="13">
        <v>2.0</v>
      </c>
      <c r="R50" s="13">
        <v>0.0</v>
      </c>
      <c r="S50" s="13">
        <v>0.5</v>
      </c>
    </row>
    <row r="51">
      <c r="A51" s="14" t="s">
        <v>155</v>
      </c>
      <c r="B51" s="14" t="s">
        <v>18</v>
      </c>
      <c r="C51" s="8">
        <v>0.0</v>
      </c>
      <c r="D51" s="22" t="s">
        <v>54</v>
      </c>
      <c r="E51" s="23"/>
      <c r="F51" s="25">
        <f>0.45*C51</f>
        <v>0</v>
      </c>
      <c r="G51" s="23"/>
      <c r="H51" s="23"/>
      <c r="M51" s="10" t="s">
        <v>156</v>
      </c>
      <c r="N51" s="10">
        <v>175.0</v>
      </c>
      <c r="O51" s="10">
        <v>0.0</v>
      </c>
      <c r="P51" s="10">
        <v>350.0</v>
      </c>
      <c r="Q51" s="13">
        <v>2.0</v>
      </c>
      <c r="R51" s="13">
        <v>0.0</v>
      </c>
      <c r="S51" s="13">
        <v>0.5</v>
      </c>
    </row>
    <row r="52">
      <c r="A52" s="14" t="s">
        <v>157</v>
      </c>
      <c r="B52" s="14" t="s">
        <v>17</v>
      </c>
      <c r="C52" s="8">
        <v>0.0</v>
      </c>
      <c r="D52" s="22" t="s">
        <v>54</v>
      </c>
      <c r="E52" s="30"/>
      <c r="F52" s="23"/>
      <c r="G52" s="25">
        <f>1.8*C52</f>
        <v>0</v>
      </c>
      <c r="H52" s="23"/>
      <c r="L52" s="24" t="str">
        <f>if(sum(C48+C49+C53)&gt;0,"Note: You have selected mods with the Airborne condition.","")</f>
        <v/>
      </c>
      <c r="M52" s="10" t="s">
        <v>103</v>
      </c>
      <c r="N52" s="10">
        <v>100.0</v>
      </c>
      <c r="O52" s="10">
        <v>75.0</v>
      </c>
      <c r="P52" s="10">
        <v>100.0</v>
      </c>
      <c r="Q52" s="13">
        <v>2.0</v>
      </c>
      <c r="R52" s="13">
        <v>2.0</v>
      </c>
      <c r="S52" s="13">
        <v>0.0</v>
      </c>
    </row>
    <row r="53">
      <c r="A53" s="14" t="s">
        <v>158</v>
      </c>
      <c r="B53" s="14" t="s">
        <v>57</v>
      </c>
      <c r="C53" s="8">
        <v>0.0</v>
      </c>
      <c r="D53" s="22" t="s">
        <v>54</v>
      </c>
      <c r="E53" s="23"/>
      <c r="F53" s="23"/>
      <c r="G53" s="23"/>
      <c r="H53" s="25">
        <f>0.4*C53</f>
        <v>0</v>
      </c>
      <c r="L53" s="24" t="str">
        <f>if(sum(C47+C50+C55+C56+C60+C62+C70+C73)+2-countif(C74:C75,"No")&gt;0,"Note: You have chosen mods which resist a specific damage type. This may produce inaccurate results due to different types selected.","")</f>
        <v/>
      </c>
      <c r="M53" s="10" t="s">
        <v>159</v>
      </c>
      <c r="N53" s="10">
        <v>100.0</v>
      </c>
      <c r="O53" s="10">
        <v>100.0</v>
      </c>
      <c r="P53" s="10">
        <v>125.0</v>
      </c>
      <c r="Q53" s="13">
        <v>2.0</v>
      </c>
      <c r="R53" s="13">
        <v>2.0</v>
      </c>
      <c r="S53" s="13">
        <v>0.0</v>
      </c>
    </row>
    <row r="54">
      <c r="A54" s="14" t="s">
        <v>160</v>
      </c>
      <c r="B54" s="14" t="s">
        <v>161</v>
      </c>
      <c r="C54" s="8">
        <v>0.0</v>
      </c>
      <c r="D54" s="22" t="s">
        <v>54</v>
      </c>
      <c r="E54" s="30">
        <f>0.9*C54</f>
        <v>0</v>
      </c>
      <c r="F54" s="30">
        <f>0.6*C54</f>
        <v>0</v>
      </c>
      <c r="G54" s="23"/>
      <c r="H54" s="23"/>
      <c r="M54" s="10" t="s">
        <v>162</v>
      </c>
      <c r="N54" s="10">
        <v>100.0</v>
      </c>
      <c r="O54" s="10">
        <v>100.0</v>
      </c>
      <c r="P54" s="10">
        <v>100.0</v>
      </c>
      <c r="Q54" s="13">
        <v>2.0</v>
      </c>
      <c r="R54" s="13">
        <v>2.0</v>
      </c>
      <c r="S54" s="13">
        <v>0.0</v>
      </c>
    </row>
    <row r="55">
      <c r="A55" s="14" t="s">
        <v>163</v>
      </c>
      <c r="B55" s="14" t="s">
        <v>57</v>
      </c>
      <c r="C55" s="8">
        <v>0.0</v>
      </c>
      <c r="D55" s="22" t="s">
        <v>54</v>
      </c>
      <c r="E55" s="23"/>
      <c r="F55" s="23"/>
      <c r="G55" s="23"/>
      <c r="H55" s="25">
        <f>0.45*C55</f>
        <v>0</v>
      </c>
      <c r="M55" s="10" t="s">
        <v>164</v>
      </c>
      <c r="N55" s="10">
        <v>100.0</v>
      </c>
      <c r="O55" s="10">
        <v>125.0</v>
      </c>
      <c r="P55" s="10">
        <v>125.0</v>
      </c>
      <c r="Q55" s="13">
        <v>2.0</v>
      </c>
      <c r="R55" s="13">
        <v>2.0</v>
      </c>
      <c r="S55" s="13">
        <v>0.0</v>
      </c>
    </row>
    <row r="56">
      <c r="A56" s="14" t="s">
        <v>165</v>
      </c>
      <c r="B56" s="14" t="s">
        <v>57</v>
      </c>
      <c r="C56" s="26">
        <v>0.0</v>
      </c>
      <c r="D56" s="22" t="s">
        <v>54</v>
      </c>
      <c r="E56" s="23"/>
      <c r="F56" s="23"/>
      <c r="G56" s="23"/>
      <c r="H56" s="25">
        <f>0.6*C56</f>
        <v>0</v>
      </c>
      <c r="M56" s="10" t="s">
        <v>106</v>
      </c>
      <c r="N56" s="10">
        <v>125.0</v>
      </c>
      <c r="O56" s="10">
        <v>100.0</v>
      </c>
      <c r="P56" s="10">
        <v>175.0</v>
      </c>
      <c r="Q56" s="13">
        <v>2.0</v>
      </c>
      <c r="R56" s="13">
        <v>2.0</v>
      </c>
      <c r="S56" s="13">
        <v>0.0</v>
      </c>
    </row>
    <row r="57">
      <c r="A57" s="14" t="s">
        <v>166</v>
      </c>
      <c r="B57" s="14" t="s">
        <v>18</v>
      </c>
      <c r="C57" s="26">
        <v>0.0</v>
      </c>
      <c r="D57" s="22" t="s">
        <v>54</v>
      </c>
      <c r="E57" s="23"/>
      <c r="F57" s="25">
        <f>0.45*C57</f>
        <v>0</v>
      </c>
      <c r="G57" s="23"/>
      <c r="H57" s="23"/>
      <c r="M57" s="10" t="s">
        <v>167</v>
      </c>
      <c r="N57" s="10">
        <v>125.0</v>
      </c>
      <c r="O57" s="10">
        <v>100.0</v>
      </c>
      <c r="P57" s="10">
        <v>225.0</v>
      </c>
      <c r="Q57" s="13">
        <v>2.0</v>
      </c>
      <c r="R57" s="13">
        <v>2.0</v>
      </c>
      <c r="S57" s="13">
        <v>0.0</v>
      </c>
    </row>
    <row r="58">
      <c r="A58" s="14" t="s">
        <v>168</v>
      </c>
      <c r="B58" s="14" t="s">
        <v>16</v>
      </c>
      <c r="C58" s="26">
        <v>0.0</v>
      </c>
      <c r="D58" s="22" t="s">
        <v>54</v>
      </c>
      <c r="E58" s="30">
        <f>1.8*C58</f>
        <v>0</v>
      </c>
      <c r="F58" s="23"/>
      <c r="G58" s="23"/>
      <c r="H58" s="23"/>
      <c r="M58" s="10" t="s">
        <v>111</v>
      </c>
      <c r="N58" s="10">
        <v>100.0</v>
      </c>
      <c r="O58" s="10">
        <v>75.0</v>
      </c>
      <c r="P58" s="10">
        <v>150.0</v>
      </c>
      <c r="Q58" s="13">
        <v>2.0</v>
      </c>
      <c r="R58" s="13">
        <v>2.0</v>
      </c>
      <c r="S58" s="13">
        <v>0.0</v>
      </c>
    </row>
    <row r="59">
      <c r="A59" s="14" t="s">
        <v>169</v>
      </c>
      <c r="B59" s="14" t="s">
        <v>18</v>
      </c>
      <c r="C59" s="8">
        <v>0.0</v>
      </c>
      <c r="D59" s="22" t="s">
        <v>54</v>
      </c>
      <c r="E59" s="23"/>
      <c r="F59" s="25">
        <f>4.5*C59</f>
        <v>0</v>
      </c>
      <c r="G59" s="23"/>
      <c r="H59" s="23"/>
      <c r="M59" s="10" t="s">
        <v>170</v>
      </c>
      <c r="N59" s="10">
        <v>100.0</v>
      </c>
      <c r="O59" s="10">
        <v>100.0</v>
      </c>
      <c r="P59" s="10">
        <v>150.0</v>
      </c>
      <c r="Q59" s="13">
        <v>2.0</v>
      </c>
      <c r="R59" s="13">
        <v>2.0</v>
      </c>
      <c r="S59" s="13">
        <v>0.0</v>
      </c>
    </row>
    <row r="60">
      <c r="A60" s="14" t="s">
        <v>171</v>
      </c>
      <c r="B60" s="14" t="s">
        <v>57</v>
      </c>
      <c r="C60" s="26">
        <v>0.0</v>
      </c>
      <c r="D60" s="22" t="s">
        <v>54</v>
      </c>
      <c r="E60" s="23"/>
      <c r="F60" s="23"/>
      <c r="G60" s="23"/>
      <c r="H60" s="25">
        <f>0.6*C60</f>
        <v>0</v>
      </c>
      <c r="M60" s="10" t="s">
        <v>172</v>
      </c>
      <c r="N60" s="10">
        <v>100.0</v>
      </c>
      <c r="O60" s="10">
        <v>150.0</v>
      </c>
      <c r="P60" s="10">
        <v>125.0</v>
      </c>
      <c r="Q60" s="13">
        <v>2.0</v>
      </c>
      <c r="R60" s="13">
        <v>2.0</v>
      </c>
      <c r="S60" s="13">
        <v>0.0</v>
      </c>
    </row>
    <row r="61">
      <c r="A61" s="14" t="s">
        <v>173</v>
      </c>
      <c r="B61" s="14" t="s">
        <v>161</v>
      </c>
      <c r="C61" s="8">
        <v>0.0</v>
      </c>
      <c r="D61" s="22" t="s">
        <v>54</v>
      </c>
      <c r="E61" s="30">
        <f>0.9*C61</f>
        <v>0</v>
      </c>
      <c r="F61" s="30">
        <f>0.6*C61</f>
        <v>0</v>
      </c>
      <c r="G61" s="23"/>
      <c r="H61" s="23"/>
      <c r="M61" s="10" t="s">
        <v>174</v>
      </c>
      <c r="N61" s="10">
        <v>100.0</v>
      </c>
      <c r="O61" s="10">
        <v>225.0</v>
      </c>
      <c r="P61" s="10">
        <v>125.0</v>
      </c>
      <c r="Q61" s="13">
        <v>2.0</v>
      </c>
      <c r="R61" s="13">
        <v>2.0</v>
      </c>
      <c r="S61" s="13">
        <v>0.0</v>
      </c>
    </row>
    <row r="62">
      <c r="A62" s="14" t="s">
        <v>175</v>
      </c>
      <c r="B62" s="14" t="s">
        <v>57</v>
      </c>
      <c r="C62" s="26">
        <v>0.0</v>
      </c>
      <c r="D62" s="22" t="s">
        <v>54</v>
      </c>
      <c r="E62" s="23"/>
      <c r="F62" s="23"/>
      <c r="G62" s="23"/>
      <c r="H62" s="25">
        <f>0.6*C62</f>
        <v>0</v>
      </c>
      <c r="M62" s="10" t="s">
        <v>114</v>
      </c>
      <c r="N62" s="10">
        <v>100.0</v>
      </c>
      <c r="O62" s="10">
        <v>150.0</v>
      </c>
      <c r="P62" s="10">
        <v>225.0</v>
      </c>
      <c r="Q62" s="13">
        <v>2.0</v>
      </c>
      <c r="R62" s="13">
        <v>2.0</v>
      </c>
      <c r="S62" s="13">
        <v>0.0</v>
      </c>
    </row>
    <row r="63">
      <c r="A63" s="14" t="s">
        <v>176</v>
      </c>
      <c r="B63" s="14" t="s">
        <v>18</v>
      </c>
      <c r="C63" s="8">
        <v>0.0</v>
      </c>
      <c r="D63" s="22" t="s">
        <v>54</v>
      </c>
      <c r="E63" s="23"/>
      <c r="F63" s="25">
        <f>0.6*C63</f>
        <v>0</v>
      </c>
      <c r="G63" s="23"/>
      <c r="H63" s="23"/>
      <c r="M63" s="10" t="s">
        <v>177</v>
      </c>
      <c r="N63" s="10">
        <v>100.0</v>
      </c>
      <c r="O63" s="10">
        <v>150.0</v>
      </c>
      <c r="P63" s="10">
        <v>275.0</v>
      </c>
      <c r="Q63" s="13">
        <v>2.0</v>
      </c>
      <c r="R63" s="13">
        <v>2.0</v>
      </c>
      <c r="S63" s="13">
        <v>0.0</v>
      </c>
    </row>
    <row r="64">
      <c r="A64" s="14" t="s">
        <v>178</v>
      </c>
      <c r="B64" s="14" t="s">
        <v>16</v>
      </c>
      <c r="C64" s="8">
        <v>0.0</v>
      </c>
      <c r="D64" s="8">
        <v>0.0</v>
      </c>
      <c r="E64" s="30">
        <f>0.9*1.15^D64*C64</f>
        <v>0</v>
      </c>
      <c r="F64" s="23"/>
      <c r="G64" s="23"/>
      <c r="H64" s="23"/>
      <c r="M64" s="10" t="s">
        <v>179</v>
      </c>
      <c r="N64" s="10">
        <v>125.0</v>
      </c>
      <c r="O64" s="10">
        <v>100.0</v>
      </c>
      <c r="P64" s="10">
        <v>225.0</v>
      </c>
      <c r="Q64" s="13">
        <v>2.0</v>
      </c>
      <c r="R64" s="13">
        <v>2.0</v>
      </c>
      <c r="S64" s="13">
        <v>0.0</v>
      </c>
    </row>
    <row r="65">
      <c r="A65" s="14" t="s">
        <v>180</v>
      </c>
      <c r="B65" s="14" t="s">
        <v>181</v>
      </c>
      <c r="C65" s="26">
        <v>0.0</v>
      </c>
      <c r="D65" s="22" t="s">
        <v>54</v>
      </c>
      <c r="E65" s="30">
        <f>2.2*C65</f>
        <v>0</v>
      </c>
      <c r="F65" s="23"/>
      <c r="G65" s="30">
        <f>2.2*C65</f>
        <v>0</v>
      </c>
      <c r="H65" s="23"/>
      <c r="M65" s="10" t="s">
        <v>182</v>
      </c>
      <c r="N65" s="10">
        <v>125.0</v>
      </c>
      <c r="O65" s="10">
        <v>100.0</v>
      </c>
      <c r="P65" s="10">
        <v>300.0</v>
      </c>
      <c r="Q65" s="13">
        <v>2.0</v>
      </c>
      <c r="R65" s="13">
        <v>2.0</v>
      </c>
      <c r="S65" s="13">
        <v>0.0</v>
      </c>
    </row>
    <row r="66">
      <c r="A66" s="14" t="s">
        <v>183</v>
      </c>
      <c r="B66" s="14" t="s">
        <v>57</v>
      </c>
      <c r="C66" s="8">
        <v>0.0</v>
      </c>
      <c r="D66" s="22" t="s">
        <v>54</v>
      </c>
      <c r="E66" s="23"/>
      <c r="F66" s="23"/>
      <c r="G66" s="23"/>
      <c r="H66" s="25">
        <f>C66/6</f>
        <v>0</v>
      </c>
      <c r="M66" s="10" t="s">
        <v>184</v>
      </c>
      <c r="N66" s="10">
        <v>100.0</v>
      </c>
      <c r="O66" s="10">
        <v>90.0</v>
      </c>
      <c r="P66" s="10">
        <v>150.0</v>
      </c>
      <c r="Q66" s="13">
        <v>2.0</v>
      </c>
      <c r="R66" s="13">
        <v>2.0</v>
      </c>
      <c r="S66" s="13">
        <v>0.0</v>
      </c>
    </row>
    <row r="67">
      <c r="A67" s="14" t="s">
        <v>185</v>
      </c>
      <c r="B67" s="14" t="s">
        <v>17</v>
      </c>
      <c r="C67" s="8">
        <v>0.0</v>
      </c>
      <c r="D67" s="22" t="s">
        <v>54</v>
      </c>
      <c r="E67" s="30"/>
      <c r="F67" s="23"/>
      <c r="G67" s="25">
        <f>4.4*C67</f>
        <v>0</v>
      </c>
      <c r="H67" s="23"/>
      <c r="M67" s="10" t="s">
        <v>186</v>
      </c>
      <c r="N67" s="10">
        <v>100.0</v>
      </c>
      <c r="O67" s="10">
        <v>50.0</v>
      </c>
      <c r="P67" s="10">
        <v>450.0</v>
      </c>
      <c r="Q67" s="13">
        <v>2.0</v>
      </c>
      <c r="R67" s="13">
        <v>2.0</v>
      </c>
      <c r="S67" s="13">
        <v>0.0</v>
      </c>
    </row>
    <row r="68">
      <c r="A68" s="14" t="s">
        <v>187</v>
      </c>
      <c r="B68" s="14" t="s">
        <v>161</v>
      </c>
      <c r="C68" s="8">
        <v>0.0</v>
      </c>
      <c r="D68" s="22" t="s">
        <v>54</v>
      </c>
      <c r="E68" s="30">
        <f>0.9*C68</f>
        <v>0</v>
      </c>
      <c r="F68" s="30">
        <f>0.6*C68</f>
        <v>0</v>
      </c>
      <c r="G68" s="23"/>
      <c r="H68" s="23"/>
      <c r="M68" s="10" t="s">
        <v>117</v>
      </c>
      <c r="N68" s="10">
        <v>100.0</v>
      </c>
      <c r="O68" s="10">
        <v>100.0</v>
      </c>
      <c r="P68" s="10">
        <v>100.0</v>
      </c>
      <c r="Q68" s="13">
        <v>2.0</v>
      </c>
      <c r="R68" s="13">
        <v>2.0</v>
      </c>
      <c r="S68" s="13">
        <v>0.0</v>
      </c>
    </row>
    <row r="69">
      <c r="A69" s="14" t="s">
        <v>188</v>
      </c>
      <c r="B69" s="14" t="s">
        <v>17</v>
      </c>
      <c r="C69" s="26">
        <v>0.0</v>
      </c>
      <c r="D69" s="22" t="s">
        <v>54</v>
      </c>
      <c r="E69" s="23"/>
      <c r="F69" s="23"/>
      <c r="G69" s="25">
        <f>0.6*C69</f>
        <v>0</v>
      </c>
      <c r="H69" s="23"/>
      <c r="M69" s="10" t="s">
        <v>189</v>
      </c>
      <c r="N69" s="10">
        <v>125.0</v>
      </c>
      <c r="O69" s="10">
        <v>100.0</v>
      </c>
      <c r="P69" s="10">
        <v>125.0</v>
      </c>
      <c r="Q69" s="13">
        <v>2.0</v>
      </c>
      <c r="R69" s="13">
        <v>2.0</v>
      </c>
      <c r="S69" s="13">
        <v>0.0</v>
      </c>
    </row>
    <row r="70">
      <c r="A70" s="14" t="s">
        <v>190</v>
      </c>
      <c r="B70" s="14" t="s">
        <v>57</v>
      </c>
      <c r="C70" s="26">
        <v>0.0</v>
      </c>
      <c r="D70" s="22" t="s">
        <v>54</v>
      </c>
      <c r="E70" s="23"/>
      <c r="F70" s="23"/>
      <c r="G70" s="23"/>
      <c r="H70" s="25">
        <f>0.2*C70</f>
        <v>0</v>
      </c>
      <c r="M70" s="10" t="s">
        <v>120</v>
      </c>
      <c r="N70" s="10">
        <v>100.0</v>
      </c>
      <c r="O70" s="10">
        <v>100.0</v>
      </c>
      <c r="P70" s="10">
        <v>100.0</v>
      </c>
      <c r="Q70" s="13">
        <v>2.0</v>
      </c>
      <c r="R70" s="13">
        <v>2.0</v>
      </c>
      <c r="S70" s="13">
        <v>0.0</v>
      </c>
    </row>
    <row r="71">
      <c r="A71" s="14" t="s">
        <v>191</v>
      </c>
      <c r="B71" s="14" t="s">
        <v>18</v>
      </c>
      <c r="C71" s="8">
        <v>0.0</v>
      </c>
      <c r="D71" s="26">
        <v>0.0</v>
      </c>
      <c r="E71" s="30"/>
      <c r="F71" s="25">
        <f>0.255*1.15^D71*C71</f>
        <v>0</v>
      </c>
      <c r="G71" s="23"/>
      <c r="H71" s="23"/>
      <c r="M71" s="10" t="s">
        <v>192</v>
      </c>
      <c r="N71" s="10">
        <v>100.0</v>
      </c>
      <c r="O71" s="10">
        <v>150.0</v>
      </c>
      <c r="P71" s="10">
        <v>125.0</v>
      </c>
      <c r="Q71" s="13">
        <v>2.0</v>
      </c>
      <c r="R71" s="13">
        <v>2.0</v>
      </c>
      <c r="S71" s="13">
        <v>0.0</v>
      </c>
    </row>
    <row r="72">
      <c r="A72" s="14" t="s">
        <v>193</v>
      </c>
      <c r="B72" s="14" t="s">
        <v>18</v>
      </c>
      <c r="C72" s="26">
        <v>0.0</v>
      </c>
      <c r="D72" s="22" t="s">
        <v>54</v>
      </c>
      <c r="E72" s="23"/>
      <c r="F72" s="25">
        <f>1.1*C72</f>
        <v>0</v>
      </c>
      <c r="G72" s="23"/>
      <c r="H72" s="23"/>
      <c r="M72" s="10" t="s">
        <v>124</v>
      </c>
      <c r="N72" s="10">
        <v>100.0</v>
      </c>
      <c r="O72" s="10">
        <v>50.0</v>
      </c>
      <c r="P72" s="10">
        <v>600.0</v>
      </c>
      <c r="Q72" s="13">
        <v>2.0</v>
      </c>
      <c r="R72" s="13">
        <v>2.0</v>
      </c>
      <c r="S72" s="13">
        <v>0.0</v>
      </c>
    </row>
    <row r="73">
      <c r="A73" s="14" t="s">
        <v>194</v>
      </c>
      <c r="B73" s="14" t="s">
        <v>57</v>
      </c>
      <c r="C73" s="8">
        <v>0.0</v>
      </c>
      <c r="D73" s="29" t="s">
        <v>151</v>
      </c>
      <c r="E73" s="23"/>
      <c r="F73" s="23"/>
      <c r="G73" s="23"/>
      <c r="H73" s="25">
        <f>1-(1-0.15)^C73</f>
        <v>0</v>
      </c>
      <c r="M73" s="10" t="s">
        <v>195</v>
      </c>
      <c r="N73" s="10">
        <v>100.0</v>
      </c>
      <c r="O73" s="10">
        <v>50.0</v>
      </c>
      <c r="P73" s="10">
        <v>700.0</v>
      </c>
      <c r="Q73" s="13">
        <v>2.0</v>
      </c>
      <c r="R73" s="13">
        <v>2.0</v>
      </c>
      <c r="S73" s="13">
        <v>0.0</v>
      </c>
    </row>
    <row r="74">
      <c r="A74" s="14" t="s">
        <v>196</v>
      </c>
      <c r="B74" s="14" t="s">
        <v>197</v>
      </c>
      <c r="C74" s="8" t="s">
        <v>198</v>
      </c>
      <c r="D74" s="22" t="s">
        <v>54</v>
      </c>
      <c r="E74" s="30"/>
      <c r="F74" s="25">
        <f>if(C74="No",0,if(C74="1 Umbral",110%,if(C74="2 Umbrals",137.5%,192.5%)))</f>
        <v>0</v>
      </c>
      <c r="G74" s="23"/>
      <c r="H74" s="25">
        <f t="shared" ref="H74:H75" si="6">if(C74="No",0,if(C74="1 Umbral",11%,if(C74="2 Umbrals",13.75%,19.25%)))</f>
        <v>0</v>
      </c>
      <c r="M74" s="10" t="s">
        <v>127</v>
      </c>
      <c r="N74" s="10">
        <v>100.0</v>
      </c>
      <c r="O74" s="10">
        <v>75.0</v>
      </c>
      <c r="P74" s="10">
        <v>150.0</v>
      </c>
      <c r="Q74" s="13">
        <v>2.0</v>
      </c>
      <c r="R74" s="13">
        <v>2.0</v>
      </c>
      <c r="S74" s="13">
        <v>0.0</v>
      </c>
    </row>
    <row r="75">
      <c r="A75" s="14" t="s">
        <v>199</v>
      </c>
      <c r="B75" s="14" t="s">
        <v>200</v>
      </c>
      <c r="C75" s="8" t="s">
        <v>198</v>
      </c>
      <c r="D75" s="22" t="s">
        <v>54</v>
      </c>
      <c r="E75" s="30">
        <f>if(C75="No",0,if(C75="1 Umbral",440%,if(C75="2 Umbrals",550%,770%)))</f>
        <v>0</v>
      </c>
      <c r="F75" s="23"/>
      <c r="G75" s="23"/>
      <c r="H75" s="25">
        <f t="shared" si="6"/>
        <v>0</v>
      </c>
      <c r="M75" s="10" t="s">
        <v>201</v>
      </c>
      <c r="N75" s="10">
        <v>100.0</v>
      </c>
      <c r="O75" s="10">
        <v>100.0</v>
      </c>
      <c r="P75" s="10">
        <v>200.0</v>
      </c>
      <c r="Q75" s="13">
        <v>2.0</v>
      </c>
      <c r="R75" s="13">
        <v>2.0</v>
      </c>
      <c r="S75" s="13">
        <v>0.0</v>
      </c>
    </row>
    <row r="76">
      <c r="A76" s="14" t="s">
        <v>202</v>
      </c>
      <c r="B76" s="14" t="s">
        <v>181</v>
      </c>
      <c r="C76" s="26">
        <v>0.0</v>
      </c>
      <c r="D76" s="22" t="s">
        <v>54</v>
      </c>
      <c r="E76" s="30">
        <f>1.2*C76</f>
        <v>0</v>
      </c>
      <c r="F76" s="23"/>
      <c r="G76" s="30">
        <f>1.2*C76</f>
        <v>0</v>
      </c>
      <c r="H76" s="23"/>
      <c r="M76" s="10" t="s">
        <v>203</v>
      </c>
      <c r="N76" s="10">
        <v>100.0</v>
      </c>
      <c r="O76" s="10">
        <v>150.0</v>
      </c>
      <c r="P76" s="10">
        <v>100.0</v>
      </c>
      <c r="Q76" s="13">
        <v>2.0</v>
      </c>
      <c r="R76" s="13">
        <v>2.0</v>
      </c>
      <c r="S76" s="13">
        <v>0.0</v>
      </c>
    </row>
    <row r="77">
      <c r="A77" s="14" t="s">
        <v>204</v>
      </c>
      <c r="B77" s="14" t="s">
        <v>16</v>
      </c>
      <c r="C77" s="26">
        <v>0.0</v>
      </c>
      <c r="D77" s="22" t="s">
        <v>54</v>
      </c>
      <c r="E77" s="30">
        <f>4.4*C77</f>
        <v>0</v>
      </c>
      <c r="F77" s="23"/>
      <c r="G77" s="23"/>
      <c r="H77" s="23"/>
      <c r="M77" s="10" t="s">
        <v>205</v>
      </c>
      <c r="N77" s="10">
        <v>100.0</v>
      </c>
      <c r="O77" s="10">
        <v>150.0</v>
      </c>
      <c r="P77" s="10">
        <v>125.0</v>
      </c>
      <c r="Q77" s="13">
        <v>2.0</v>
      </c>
      <c r="R77" s="13">
        <v>2.0</v>
      </c>
      <c r="S77" s="13">
        <v>0.0</v>
      </c>
    </row>
    <row r="78">
      <c r="M78" s="10" t="s">
        <v>130</v>
      </c>
      <c r="N78" s="10">
        <v>100.0</v>
      </c>
      <c r="O78" s="10">
        <v>75.0</v>
      </c>
      <c r="P78" s="10">
        <v>175.0</v>
      </c>
      <c r="Q78" s="13">
        <v>2.0</v>
      </c>
      <c r="R78" s="13">
        <v>2.0</v>
      </c>
      <c r="S78" s="13">
        <v>0.0</v>
      </c>
    </row>
    <row r="79">
      <c r="A79" s="7" t="s">
        <v>206</v>
      </c>
      <c r="B79" s="7" t="s">
        <v>141</v>
      </c>
      <c r="C79" s="20" t="s">
        <v>142</v>
      </c>
      <c r="D79" s="21" t="s">
        <v>144</v>
      </c>
      <c r="E79" s="21" t="s">
        <v>145</v>
      </c>
      <c r="F79" s="21" t="s">
        <v>146</v>
      </c>
      <c r="G79" s="21" t="s">
        <v>147</v>
      </c>
      <c r="M79" s="10" t="s">
        <v>133</v>
      </c>
      <c r="N79" s="10">
        <v>150.0</v>
      </c>
      <c r="O79" s="10">
        <v>100.0</v>
      </c>
      <c r="P79" s="10">
        <v>250.0</v>
      </c>
      <c r="Q79" s="13">
        <v>2.0</v>
      </c>
      <c r="R79" s="13">
        <v>2.0</v>
      </c>
      <c r="S79" s="13">
        <v>0.0</v>
      </c>
    </row>
    <row r="80">
      <c r="A80" s="14" t="s">
        <v>207</v>
      </c>
      <c r="B80" s="14" t="s">
        <v>18</v>
      </c>
      <c r="C80" s="8">
        <v>0.0</v>
      </c>
      <c r="D80" s="23"/>
      <c r="E80" s="23">
        <f>900*C80</f>
        <v>0</v>
      </c>
      <c r="F80" s="23"/>
      <c r="G80" s="23"/>
      <c r="L80" s="24" t="str">
        <f>if(C80+C81+C82=3,"Warning: You have selected too many arcanes!","")</f>
        <v/>
      </c>
      <c r="M80" s="10" t="s">
        <v>208</v>
      </c>
      <c r="N80" s="10">
        <v>150.0</v>
      </c>
      <c r="O80" s="10">
        <v>120.0</v>
      </c>
      <c r="P80" s="10">
        <v>275.0</v>
      </c>
      <c r="Q80" s="13">
        <v>2.0</v>
      </c>
      <c r="R80" s="13">
        <v>2.0</v>
      </c>
      <c r="S80" s="13">
        <v>0.0</v>
      </c>
    </row>
    <row r="81">
      <c r="A81" s="14" t="s">
        <v>209</v>
      </c>
      <c r="B81" s="14" t="s">
        <v>18</v>
      </c>
      <c r="C81" s="8">
        <v>0.0</v>
      </c>
      <c r="D81" s="23"/>
      <c r="E81" s="23">
        <f t="shared" ref="E81:E82" si="7">1200*C81</f>
        <v>0</v>
      </c>
      <c r="F81" s="23"/>
      <c r="G81" s="23"/>
      <c r="M81" s="10" t="s">
        <v>210</v>
      </c>
      <c r="N81" s="10">
        <v>97.0</v>
      </c>
      <c r="O81" s="10">
        <v>89.0</v>
      </c>
      <c r="P81" s="10">
        <v>137.0</v>
      </c>
      <c r="Q81" s="13">
        <v>2.0</v>
      </c>
      <c r="R81" s="13">
        <v>2.0</v>
      </c>
      <c r="S81" s="13">
        <v>0.0</v>
      </c>
    </row>
    <row r="82">
      <c r="A82" s="14" t="s">
        <v>211</v>
      </c>
      <c r="B82" s="14" t="s">
        <v>18</v>
      </c>
      <c r="C82" s="8">
        <v>0.0</v>
      </c>
      <c r="D82" s="23"/>
      <c r="E82" s="23">
        <f t="shared" si="7"/>
        <v>0</v>
      </c>
      <c r="F82" s="23"/>
      <c r="G82" s="23"/>
      <c r="M82" s="10" t="s">
        <v>135</v>
      </c>
      <c r="N82" s="10">
        <v>100.0</v>
      </c>
      <c r="O82" s="10">
        <v>150.0</v>
      </c>
      <c r="P82" s="10">
        <v>100.0</v>
      </c>
      <c r="Q82" s="13">
        <v>2.0</v>
      </c>
      <c r="R82" s="13">
        <v>2.0</v>
      </c>
      <c r="S82" s="13">
        <v>0.0</v>
      </c>
    </row>
    <row r="83">
      <c r="A83" s="14" t="s">
        <v>212</v>
      </c>
      <c r="B83" s="14" t="s">
        <v>18</v>
      </c>
      <c r="C83" s="26">
        <v>0.0</v>
      </c>
      <c r="D83" s="23"/>
      <c r="E83" s="23">
        <f>60*C83</f>
        <v>0</v>
      </c>
      <c r="F83" s="23"/>
      <c r="G83" s="23"/>
      <c r="M83" s="10" t="s">
        <v>213</v>
      </c>
      <c r="N83" s="10">
        <v>150.0</v>
      </c>
      <c r="O83" s="10">
        <v>150.0</v>
      </c>
      <c r="P83" s="10">
        <v>100.0</v>
      </c>
      <c r="Q83" s="13">
        <v>2.0</v>
      </c>
      <c r="R83" s="13">
        <v>2.0</v>
      </c>
      <c r="S83" s="13">
        <v>0.0</v>
      </c>
    </row>
    <row r="84">
      <c r="A84" s="14" t="s">
        <v>214</v>
      </c>
      <c r="B84" s="14" t="s">
        <v>16</v>
      </c>
      <c r="C84" s="26">
        <v>0.0</v>
      </c>
      <c r="D84" s="25">
        <f>0.25*C84</f>
        <v>0</v>
      </c>
      <c r="E84" s="23"/>
      <c r="F84" s="23"/>
      <c r="G84" s="23"/>
      <c r="M84" s="10" t="s">
        <v>215</v>
      </c>
      <c r="N84" s="10">
        <v>150.0</v>
      </c>
      <c r="O84" s="10">
        <v>150.0</v>
      </c>
      <c r="P84" s="10">
        <v>125.0</v>
      </c>
      <c r="Q84" s="13">
        <v>2.0</v>
      </c>
      <c r="R84" s="13">
        <v>2.0</v>
      </c>
      <c r="S84" s="13">
        <v>0.0</v>
      </c>
    </row>
    <row r="85">
      <c r="A85" s="14" t="s">
        <v>216</v>
      </c>
      <c r="B85" s="14" t="s">
        <v>18</v>
      </c>
      <c r="C85" s="26">
        <v>0.0</v>
      </c>
      <c r="D85" s="23"/>
      <c r="E85" s="25">
        <f>0.15*C85</f>
        <v>0</v>
      </c>
      <c r="F85" s="23"/>
      <c r="G85" s="23"/>
    </row>
    <row r="86">
      <c r="A86" s="14" t="s">
        <v>217</v>
      </c>
      <c r="B86" s="14" t="s">
        <v>17</v>
      </c>
      <c r="C86" s="26">
        <v>0.0</v>
      </c>
      <c r="D86" s="23"/>
      <c r="E86" s="23"/>
      <c r="F86" s="25">
        <f>0.5*C86</f>
        <v>0</v>
      </c>
      <c r="G86" s="23"/>
    </row>
    <row r="87">
      <c r="A87" s="14" t="s">
        <v>218</v>
      </c>
      <c r="B87" s="14" t="s">
        <v>57</v>
      </c>
      <c r="C87" s="26">
        <v>0.0</v>
      </c>
      <c r="D87" s="23"/>
      <c r="E87" s="23"/>
      <c r="F87" s="23"/>
      <c r="G87" s="25">
        <f>0.9*C87</f>
        <v>0</v>
      </c>
    </row>
    <row r="89">
      <c r="L89" s="10" t="s">
        <v>219</v>
      </c>
    </row>
    <row r="90">
      <c r="L90" s="10">
        <f>sum(C47,C49:C58,C60:C62,C65,C67:C70,C72,C76:C77)+if(C59&gt;0,1,0)+if(C63&gt;0,1,0)+(2-countif(C74:C75,"No"))</f>
        <v>0</v>
      </c>
    </row>
    <row r="91">
      <c r="L91" s="10" t="s">
        <v>220</v>
      </c>
    </row>
    <row r="92">
      <c r="L92" s="12">
        <f>if(C66&gt;0,1,0)</f>
        <v>0</v>
      </c>
    </row>
  </sheetData>
  <conditionalFormatting sqref="I2:I26">
    <cfRule type="expression" dxfId="0" priority="1">
      <formula>left(I2,find(":",I2)-1)="Warning"</formula>
    </cfRule>
  </conditionalFormatting>
  <conditionalFormatting sqref="I2:I26">
    <cfRule type="expression" dxfId="1" priority="2">
      <formula>left(I2,find(":",I2)-1)="Note"</formula>
    </cfRule>
  </conditionalFormatting>
  <dataValidations>
    <dataValidation type="decimal" allowBlank="1" showDropDown="1" showInputMessage="1" prompt="Enter a number between 0% and 100%" sqref="D11 D18 D21">
      <formula1>0.0</formula1>
      <formula2>1.0</formula2>
    </dataValidation>
    <dataValidation type="decimal" allowBlank="1" showDropDown="1" showInputMessage="1" prompt="Enter a number between 0 and 1500" sqref="D10">
      <formula1>0.0</formula1>
      <formula2>1500.0</formula2>
    </dataValidation>
    <dataValidation type="list" allowBlank="1" sqref="C74:C75">
      <formula1>"No,1 Umbral,2 Umbrals,3 Umbrals"</formula1>
    </dataValidation>
    <dataValidation type="list" allowBlank="1" showDropDown="1" sqref="D42">
      <formula1>"Wukong,Subsumed"</formula1>
    </dataValidation>
    <dataValidation type="list" allowBlank="1" showInputMessage="1" prompt="Select from drop down only" sqref="D27">
      <formula1>"Mirage,Subsumed"</formula1>
    </dataValidation>
    <dataValidation type="decimal" allowBlank="1" showDropDown="1" showInputMessage="1" prompt="Enter the UI armor bonus, between 0 and 1000" sqref="D40">
      <formula1>0.0</formula1>
      <formula2>1000.0</formula2>
    </dataValidation>
    <dataValidation type="list" allowBlank="1" sqref="C48 C64 C71 C73">
      <formula1>"0,1,2,3,4"</formula1>
    </dataValidation>
    <dataValidation type="list" allowBlank="1" sqref="C59 C66">
      <formula1>"0,1,2,3"</formula1>
    </dataValidation>
    <dataValidation type="custom" allowBlank="1" showDropDown="1" showInputMessage="1" prompt="Enter a positive integer only" sqref="D22 D28 D35 C63">
      <formula1>IF(C22=INT(C22)*SIGN(C22),TRUE,FALSE)</formula1>
    </dataValidation>
    <dataValidation type="list" allowBlank="1" showInputMessage="1" showErrorMessage="1" prompt="Pick a Warframe" sqref="B1">
      <formula1>$M$2:$M$84</formula1>
    </dataValidation>
  </dataValidations>
  <drawing r:id="rId2"/>
  <legacyDrawing r:id="rId3"/>
</worksheet>
</file>