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F94BCFED-5720-48FE-BD87-D621C546FEAA}" xr6:coauthVersionLast="45" xr6:coauthVersionMax="45" xr10:uidLastSave="{00000000-0000-0000-0000-000000000000}"/>
  <bookViews>
    <workbookView xWindow="-120" yWindow="-120" windowWidth="20730" windowHeight="11310" xr2:uid="{3C2D0E6B-EFF1-44B1-AEBA-1D24E4EA7353}"/>
  </bookViews>
  <sheets>
    <sheet name="工作表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2" l="1"/>
  <c r="M11" i="2"/>
  <c r="J19" i="2"/>
  <c r="K19" i="2"/>
  <c r="G9" i="2"/>
  <c r="L9" i="2"/>
  <c r="L10" i="2"/>
  <c r="L11" i="2"/>
  <c r="L12" i="2"/>
  <c r="L8" i="2"/>
  <c r="K11" i="2"/>
  <c r="J11" i="2"/>
  <c r="L6" i="2"/>
  <c r="N6" i="2" s="1"/>
  <c r="L5" i="2"/>
  <c r="L4" i="2"/>
  <c r="L3" i="2"/>
  <c r="D20" i="2"/>
  <c r="D16" i="2"/>
  <c r="D13" i="2"/>
  <c r="B20" i="2"/>
  <c r="B16" i="2"/>
  <c r="B13" i="2"/>
  <c r="E23" i="2"/>
  <c r="G16" i="2" l="1"/>
  <c r="C23" i="2"/>
  <c r="C15" i="2"/>
  <c r="C9" i="2"/>
  <c r="F9" i="2" s="1"/>
  <c r="E20" i="2"/>
  <c r="E16" i="2"/>
  <c r="E13" i="2"/>
  <c r="O11" i="2" l="1"/>
  <c r="O6" i="2"/>
  <c r="O5" i="2"/>
  <c r="O4" i="2"/>
  <c r="O3" i="2"/>
  <c r="N11" i="2"/>
  <c r="N5" i="2"/>
  <c r="N4" i="2"/>
  <c r="N3" i="2"/>
  <c r="M20" i="2"/>
  <c r="L20" i="2"/>
  <c r="K20" i="2"/>
  <c r="J20" i="2"/>
  <c r="C24" i="2"/>
  <c r="C22" i="2"/>
  <c r="C18" i="2"/>
  <c r="C16" i="2"/>
  <c r="F16" i="2" s="1"/>
  <c r="C13" i="2"/>
  <c r="C12" i="2"/>
  <c r="C11" i="2"/>
  <c r="D7" i="2"/>
  <c r="E7" i="2"/>
  <c r="B7" i="2"/>
  <c r="C6" i="2"/>
  <c r="C5" i="2"/>
  <c r="D4" i="2"/>
  <c r="E4" i="2"/>
  <c r="B4" i="2"/>
  <c r="C3" i="2"/>
  <c r="C2" i="2"/>
  <c r="G7" i="2" l="1"/>
  <c r="O20" i="2"/>
  <c r="N20" i="2"/>
  <c r="B14" i="2"/>
  <c r="D14" i="2"/>
  <c r="D17" i="2" s="1"/>
  <c r="D19" i="2" s="1"/>
  <c r="D21" i="2" s="1"/>
  <c r="D25" i="2" s="1"/>
  <c r="E14" i="2"/>
  <c r="O19" i="2"/>
  <c r="G4" i="2"/>
  <c r="C20" i="2"/>
  <c r="C4" i="2"/>
  <c r="F4" i="2" s="1"/>
  <c r="C7" i="2"/>
  <c r="F7" i="2" s="1"/>
  <c r="G14" i="2" l="1"/>
  <c r="C14" i="2"/>
  <c r="C17" i="2" s="1"/>
  <c r="C19" i="2" s="1"/>
  <c r="C21" i="2" s="1"/>
  <c r="C25" i="2" s="1"/>
  <c r="M18" i="2"/>
  <c r="E17" i="2"/>
  <c r="E19" i="2" s="1"/>
  <c r="E21" i="2" s="1"/>
  <c r="E25" i="2" s="1"/>
  <c r="B17" i="2"/>
  <c r="F14" i="2" l="1"/>
  <c r="F17" i="2"/>
  <c r="G17" i="2"/>
  <c r="L18" i="2"/>
  <c r="B19" i="2"/>
  <c r="G19" i="2" l="1"/>
  <c r="F19" i="2"/>
  <c r="K18" i="2"/>
  <c r="B21" i="2"/>
  <c r="B25" i="2" l="1"/>
  <c r="G21" i="2"/>
  <c r="F21" i="2"/>
  <c r="F25" i="2" l="1"/>
  <c r="G25" i="2"/>
  <c r="J18" i="2"/>
  <c r="O18" i="2" s="1"/>
  <c r="N18" i="2"/>
</calcChain>
</file>

<file path=xl/sharedStrings.xml><?xml version="1.0" encoding="utf-8"?>
<sst xmlns="http://schemas.openxmlformats.org/spreadsheetml/2006/main" count="46" uniqueCount="41">
  <si>
    <t>淨利息收入</t>
    <phoneticPr fontId="2" type="noConversion"/>
  </si>
  <si>
    <t>淨保費收入</t>
    <phoneticPr fontId="2" type="noConversion"/>
  </si>
  <si>
    <t>淨服務費收入</t>
    <phoneticPr fontId="2" type="noConversion"/>
  </si>
  <si>
    <t>公平值變化</t>
    <phoneticPr fontId="2" type="noConversion"/>
  </si>
  <si>
    <t>其他金融資產</t>
    <phoneticPr fontId="2" type="noConversion"/>
  </si>
  <si>
    <t>其他</t>
    <phoneticPr fontId="2" type="noConversion"/>
  </si>
  <si>
    <t>總經營收入</t>
    <phoneticPr fontId="2" type="noConversion"/>
  </si>
  <si>
    <t>淨保保險索償</t>
    <phoneticPr fontId="2" type="noConversion"/>
  </si>
  <si>
    <t>經營支出</t>
    <phoneticPr fontId="2" type="noConversion"/>
  </si>
  <si>
    <t>撥備前盈利</t>
    <phoneticPr fontId="2" type="noConversion"/>
  </si>
  <si>
    <t>撥備</t>
    <phoneticPr fontId="2" type="noConversion"/>
  </si>
  <si>
    <t>經營溢利</t>
    <phoneticPr fontId="2" type="noConversion"/>
  </si>
  <si>
    <t>物業重估及其他</t>
    <phoneticPr fontId="2" type="noConversion"/>
  </si>
  <si>
    <t>稅前利潤</t>
    <phoneticPr fontId="2" type="noConversion"/>
  </si>
  <si>
    <t>稅</t>
    <phoneticPr fontId="2" type="noConversion"/>
  </si>
  <si>
    <t>純利</t>
    <phoneticPr fontId="2" type="noConversion"/>
  </si>
  <si>
    <t>非控股權益</t>
    <phoneticPr fontId="2" type="noConversion"/>
  </si>
  <si>
    <t>資產</t>
    <phoneticPr fontId="2" type="noConversion"/>
  </si>
  <si>
    <t>負債</t>
    <phoneticPr fontId="2" type="noConversion"/>
  </si>
  <si>
    <t xml:space="preserve">  利息收入</t>
    <phoneticPr fontId="2" type="noConversion"/>
  </si>
  <si>
    <t xml:space="preserve">  利息支出</t>
    <phoneticPr fontId="2" type="noConversion"/>
  </si>
  <si>
    <t xml:space="preserve">  服務費收入</t>
    <phoneticPr fontId="2" type="noConversion"/>
  </si>
  <si>
    <t xml:space="preserve">  服務費支出</t>
    <phoneticPr fontId="2" type="noConversion"/>
  </si>
  <si>
    <t>股東應佔權益</t>
    <phoneticPr fontId="2" type="noConversion"/>
  </si>
  <si>
    <t>1H19</t>
    <phoneticPr fontId="2" type="noConversion"/>
  </si>
  <si>
    <t>2H19</t>
    <phoneticPr fontId="2" type="noConversion"/>
  </si>
  <si>
    <t>FY19</t>
    <phoneticPr fontId="2" type="noConversion"/>
  </si>
  <si>
    <t>1H20</t>
    <phoneticPr fontId="2" type="noConversion"/>
  </si>
  <si>
    <t>股數</t>
    <phoneticPr fontId="2" type="noConversion"/>
  </si>
  <si>
    <t>每股純利</t>
    <phoneticPr fontId="2" type="noConversion"/>
  </si>
  <si>
    <t>每股股息</t>
    <phoneticPr fontId="2" type="noConversion"/>
  </si>
  <si>
    <t>每股帳面值</t>
    <phoneticPr fontId="2" type="noConversion"/>
  </si>
  <si>
    <t>永續債</t>
    <phoneticPr fontId="2" type="noConversion"/>
  </si>
  <si>
    <t>減值貸款率</t>
    <phoneticPr fontId="2" type="noConversion"/>
  </si>
  <si>
    <t>淨息差</t>
    <phoneticPr fontId="2" type="noConversion"/>
  </si>
  <si>
    <t xml:space="preserve">    貸款</t>
    <phoneticPr fontId="2" type="noConversion"/>
  </si>
  <si>
    <t xml:space="preserve">    存款</t>
    <phoneticPr fontId="2" type="noConversion"/>
  </si>
  <si>
    <t>YoY (%)</t>
    <phoneticPr fontId="2" type="noConversion"/>
  </si>
  <si>
    <t>HoH (%)</t>
    <phoneticPr fontId="2" type="noConversion"/>
  </si>
  <si>
    <t>FY09</t>
    <phoneticPr fontId="2" type="noConversion"/>
  </si>
  <si>
    <t>（港紙百萬）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</si>
</sst>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38" fontId="3" fillId="0" borderId="1" xfId="0" applyNumberFormat="1" applyFont="1" applyBorder="1">
      <alignment vertical="center"/>
    </xf>
    <xf numFmtId="17" fontId="3" fillId="0" borderId="0" xfId="0" applyNumberFormat="1" applyFont="1">
      <alignment vertical="center"/>
    </xf>
    <xf numFmtId="10" fontId="3" fillId="0" borderId="0" xfId="1" applyNumberFormat="1" applyFont="1">
      <alignment vertical="center"/>
    </xf>
    <xf numFmtId="40" fontId="3" fillId="0" borderId="0" xfId="0" applyNumberFormat="1" applyFont="1">
      <alignment vertical="center"/>
    </xf>
    <xf numFmtId="38" fontId="3" fillId="0" borderId="0" xfId="0" applyNumberFormat="1" applyFont="1" applyBorder="1">
      <alignment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5FAF-F26E-4B9C-BA21-2F91E0761845}">
  <dimension ref="A1:S39"/>
  <sheetViews>
    <sheetView tabSelected="1" zoomScale="85" zoomScaleNormal="85" workbookViewId="0">
      <selection activeCell="Q11" sqref="Q11"/>
    </sheetView>
  </sheetViews>
  <sheetFormatPr defaultRowHeight="16.5" x14ac:dyDescent="0.25"/>
  <cols>
    <col min="1" max="1" width="16.875" style="1" bestFit="1" customWidth="1"/>
    <col min="2" max="4" width="8.5" style="2" bestFit="1" customWidth="1"/>
    <col min="5" max="5" width="8.5" style="2" hidden="1" customWidth="1"/>
    <col min="6" max="6" width="7.75" style="2" customWidth="1"/>
    <col min="7" max="7" width="7.875" style="9" customWidth="1"/>
    <col min="8" max="8" width="2.5" style="1" customWidth="1"/>
    <col min="9" max="9" width="13.625" style="1" customWidth="1"/>
    <col min="10" max="10" width="10.375" style="1" bestFit="1" customWidth="1"/>
    <col min="11" max="11" width="10.375" style="1" hidden="1" customWidth="1"/>
    <col min="12" max="13" width="10.375" style="1" customWidth="1"/>
    <col min="14" max="15" width="8.75" style="2" bestFit="1" customWidth="1"/>
  </cols>
  <sheetData>
    <row r="1" spans="1:19" x14ac:dyDescent="0.25">
      <c r="A1" s="1" t="s">
        <v>40</v>
      </c>
      <c r="B1" s="2" t="s">
        <v>27</v>
      </c>
      <c r="C1" s="2" t="s">
        <v>25</v>
      </c>
      <c r="D1" s="2" t="s">
        <v>24</v>
      </c>
      <c r="E1" s="2" t="s">
        <v>26</v>
      </c>
      <c r="F1" s="2" t="s">
        <v>38</v>
      </c>
      <c r="G1" s="9" t="s">
        <v>37</v>
      </c>
      <c r="J1" s="5">
        <v>43983</v>
      </c>
      <c r="K1" s="5">
        <v>44166</v>
      </c>
      <c r="L1" s="5">
        <v>44166</v>
      </c>
      <c r="M1" s="5">
        <v>43617</v>
      </c>
      <c r="N1" s="2" t="s">
        <v>38</v>
      </c>
      <c r="O1" s="2" t="s">
        <v>37</v>
      </c>
    </row>
    <row r="2" spans="1:19" x14ac:dyDescent="0.25">
      <c r="A2" s="1" t="s">
        <v>19</v>
      </c>
      <c r="B2" s="2">
        <v>20428</v>
      </c>
      <c r="C2" s="2">
        <f>E2-D2</f>
        <v>22817</v>
      </c>
      <c r="D2" s="2">
        <v>21373</v>
      </c>
      <c r="E2" s="2">
        <v>44190</v>
      </c>
    </row>
    <row r="3" spans="1:19" x14ac:dyDescent="0.25">
      <c r="A3" s="3" t="s">
        <v>20</v>
      </c>
      <c r="B3" s="4">
        <v>-5636</v>
      </c>
      <c r="C3" s="4">
        <f>E3-D3</f>
        <v>-6415</v>
      </c>
      <c r="D3" s="4">
        <v>-5520</v>
      </c>
      <c r="E3" s="4">
        <v>-11935</v>
      </c>
      <c r="F3" s="8"/>
      <c r="G3" s="10"/>
      <c r="I3" s="1" t="s">
        <v>17</v>
      </c>
      <c r="J3" s="2">
        <v>1732021</v>
      </c>
      <c r="K3" s="2">
        <v>1676991</v>
      </c>
      <c r="L3" s="2">
        <f>K3</f>
        <v>1676991</v>
      </c>
      <c r="M3" s="2">
        <v>1656652</v>
      </c>
      <c r="N3" s="2">
        <f>(J3/L3-1)*100</f>
        <v>3.2814725898946406</v>
      </c>
      <c r="O3" s="2">
        <f>(J3/M3-1)*100</f>
        <v>4.5494768967773602</v>
      </c>
    </row>
    <row r="4" spans="1:19" x14ac:dyDescent="0.25">
      <c r="A4" s="1" t="s">
        <v>0</v>
      </c>
      <c r="B4" s="2">
        <f>B2+B3</f>
        <v>14792</v>
      </c>
      <c r="C4" s="2">
        <f>C2+C3</f>
        <v>16402</v>
      </c>
      <c r="D4" s="2">
        <f>D2+D3</f>
        <v>15853</v>
      </c>
      <c r="E4" s="2">
        <f>E2+E3</f>
        <v>32255</v>
      </c>
      <c r="F4" s="2">
        <f>(B4/C4-1)*100</f>
        <v>-9.8158761126691871</v>
      </c>
      <c r="G4" s="9">
        <f>(B4/D4-1)*100</f>
        <v>-6.6927395445656952</v>
      </c>
      <c r="I4" s="1" t="s">
        <v>35</v>
      </c>
      <c r="J4" s="2">
        <v>953451</v>
      </c>
      <c r="K4" s="2">
        <v>942930</v>
      </c>
      <c r="L4" s="2">
        <f>K4</f>
        <v>942930</v>
      </c>
      <c r="M4" s="2">
        <v>919845</v>
      </c>
      <c r="N4" s="2">
        <f>(J4/L4-1)*100</f>
        <v>1.1157774171995705</v>
      </c>
      <c r="O4" s="2">
        <f>(J4/M4-1)*100</f>
        <v>3.6534416124455849</v>
      </c>
    </row>
    <row r="5" spans="1:19" x14ac:dyDescent="0.25">
      <c r="A5" s="1" t="s">
        <v>21</v>
      </c>
      <c r="B5" s="2">
        <v>4208</v>
      </c>
      <c r="C5" s="2">
        <f>E5-D5</f>
        <v>4264</v>
      </c>
      <c r="D5" s="2">
        <v>4808</v>
      </c>
      <c r="E5" s="2">
        <v>9072</v>
      </c>
      <c r="I5" s="1" t="s">
        <v>18</v>
      </c>
      <c r="J5" s="2">
        <v>1555906</v>
      </c>
      <c r="K5" s="2">
        <v>1498074</v>
      </c>
      <c r="L5" s="2">
        <f>K5</f>
        <v>1498074</v>
      </c>
      <c r="M5" s="2">
        <v>1483814</v>
      </c>
      <c r="N5" s="2">
        <f>(J5/L5-1)*100</f>
        <v>3.8604234503769597</v>
      </c>
      <c r="O5" s="2">
        <f>(J5/M5-1)*100</f>
        <v>4.858560439516002</v>
      </c>
    </row>
    <row r="6" spans="1:19" x14ac:dyDescent="0.25">
      <c r="A6" s="3" t="s">
        <v>22</v>
      </c>
      <c r="B6" s="4">
        <v>-1033</v>
      </c>
      <c r="C6" s="4">
        <f>E6-D6</f>
        <v>-1296</v>
      </c>
      <c r="D6" s="4">
        <v>-1323</v>
      </c>
      <c r="E6" s="4">
        <v>-2619</v>
      </c>
      <c r="F6" s="8"/>
      <c r="G6" s="10"/>
      <c r="I6" s="1" t="s">
        <v>36</v>
      </c>
      <c r="J6" s="2">
        <v>1241156</v>
      </c>
      <c r="K6" s="2">
        <v>1203458</v>
      </c>
      <c r="L6" s="2">
        <f>K6</f>
        <v>1203458</v>
      </c>
      <c r="M6" s="2">
        <v>1186938</v>
      </c>
      <c r="N6" s="2">
        <f>(J6/L6-1)*100</f>
        <v>3.1324732562332924</v>
      </c>
      <c r="O6" s="2">
        <f>(J6/M6-1)*100</f>
        <v>4.5678881289502815</v>
      </c>
    </row>
    <row r="7" spans="1:19" x14ac:dyDescent="0.25">
      <c r="A7" s="1" t="s">
        <v>2</v>
      </c>
      <c r="B7" s="2">
        <f>B5+B6</f>
        <v>3175</v>
      </c>
      <c r="C7" s="2">
        <f>C5+C6</f>
        <v>2968</v>
      </c>
      <c r="D7" s="2">
        <f>D5+D6</f>
        <v>3485</v>
      </c>
      <c r="E7" s="2">
        <f>E5+E6</f>
        <v>6453</v>
      </c>
      <c r="F7" s="2">
        <f>(B7/C7-1)*100</f>
        <v>6.9743935309973137</v>
      </c>
      <c r="G7" s="9">
        <f>(B7/D7-1)*100</f>
        <v>-8.8952654232424706</v>
      </c>
    </row>
    <row r="8" spans="1:19" x14ac:dyDescent="0.25">
      <c r="J8" s="2">
        <v>9658</v>
      </c>
      <c r="K8" s="2">
        <v>9658</v>
      </c>
      <c r="L8" s="2">
        <f>K8</f>
        <v>9658</v>
      </c>
      <c r="M8" s="2">
        <v>9658</v>
      </c>
    </row>
    <row r="9" spans="1:19" x14ac:dyDescent="0.25">
      <c r="A9" s="1" t="s">
        <v>1</v>
      </c>
      <c r="B9" s="2">
        <v>7171</v>
      </c>
      <c r="C9" s="2">
        <f>E9-D9</f>
        <v>6428</v>
      </c>
      <c r="D9" s="2">
        <v>9224</v>
      </c>
      <c r="E9" s="2">
        <v>15652</v>
      </c>
      <c r="F9" s="2">
        <f>(B9/C9-1)*100</f>
        <v>11.558805227131309</v>
      </c>
      <c r="G9" s="9">
        <f>(B9/D9-1)*100</f>
        <v>-22.25715524718127</v>
      </c>
      <c r="J9" s="2">
        <v>132817</v>
      </c>
      <c r="K9" s="2">
        <v>133734</v>
      </c>
      <c r="L9" s="2">
        <f t="shared" ref="L9:L12" si="0">K9</f>
        <v>133734</v>
      </c>
      <c r="M9" s="2">
        <v>127395</v>
      </c>
    </row>
    <row r="10" spans="1:19" x14ac:dyDescent="0.25">
      <c r="J10" s="2">
        <v>21800</v>
      </c>
      <c r="K10" s="2">
        <v>23674</v>
      </c>
      <c r="L10" s="2">
        <f t="shared" si="0"/>
        <v>23674</v>
      </c>
      <c r="M10" s="2">
        <v>23924</v>
      </c>
    </row>
    <row r="11" spans="1:19" x14ac:dyDescent="0.25">
      <c r="A11" s="1" t="s">
        <v>3</v>
      </c>
      <c r="B11" s="2">
        <v>-52</v>
      </c>
      <c r="C11" s="2">
        <f t="shared" ref="C11:C16" si="1">E11-D11</f>
        <v>1667</v>
      </c>
      <c r="D11" s="2">
        <v>2035</v>
      </c>
      <c r="E11" s="2">
        <v>3702</v>
      </c>
      <c r="I11" s="1" t="s">
        <v>23</v>
      </c>
      <c r="J11" s="2">
        <f>176019-11744</f>
        <v>164275</v>
      </c>
      <c r="K11" s="2">
        <f>178810-11744</f>
        <v>167066</v>
      </c>
      <c r="L11" s="2">
        <f t="shared" si="0"/>
        <v>167066</v>
      </c>
      <c r="M11" s="2">
        <f>172721-11744</f>
        <v>160977</v>
      </c>
      <c r="N11" s="2">
        <f>(J11/L11-1)*100</f>
        <v>-1.6705972489914123</v>
      </c>
      <c r="O11" s="2">
        <f>(J11/M11-1)*100</f>
        <v>2.0487398820949521</v>
      </c>
      <c r="P11" s="2"/>
      <c r="Q11" s="2"/>
      <c r="R11" s="2"/>
      <c r="S11" s="2"/>
    </row>
    <row r="12" spans="1:19" x14ac:dyDescent="0.25">
      <c r="A12" s="1" t="s">
        <v>4</v>
      </c>
      <c r="B12" s="2">
        <v>2147</v>
      </c>
      <c r="C12" s="2">
        <f t="shared" si="1"/>
        <v>2048</v>
      </c>
      <c r="D12" s="2">
        <v>3066</v>
      </c>
      <c r="E12" s="2">
        <v>5114</v>
      </c>
      <c r="I12" s="1" t="s">
        <v>33</v>
      </c>
      <c r="J12" s="6">
        <v>3.2000000000000002E-3</v>
      </c>
      <c r="K12" s="6">
        <v>2.2000000000000001E-3</v>
      </c>
      <c r="L12" s="6">
        <f t="shared" si="0"/>
        <v>2.2000000000000001E-3</v>
      </c>
      <c r="M12" s="6">
        <v>2.2000000000000001E-3</v>
      </c>
    </row>
    <row r="13" spans="1:19" x14ac:dyDescent="0.25">
      <c r="A13" s="3" t="s">
        <v>5</v>
      </c>
      <c r="B13" s="4">
        <f>20+6</f>
        <v>26</v>
      </c>
      <c r="C13" s="4">
        <f t="shared" si="1"/>
        <v>28</v>
      </c>
      <c r="D13" s="4">
        <f>1+136</f>
        <v>137</v>
      </c>
      <c r="E13" s="4">
        <f>22+143</f>
        <v>165</v>
      </c>
      <c r="J13" s="2"/>
      <c r="K13" s="2"/>
      <c r="L13" s="2"/>
      <c r="M13" s="2"/>
    </row>
    <row r="14" spans="1:19" x14ac:dyDescent="0.25">
      <c r="A14" s="1" t="s">
        <v>6</v>
      </c>
      <c r="B14" s="2">
        <f>B4+B7+B9+B11+B13+B12</f>
        <v>27259</v>
      </c>
      <c r="C14" s="2">
        <f t="shared" si="1"/>
        <v>29541</v>
      </c>
      <c r="D14" s="2">
        <f>D4+D7+D9+D11+D13+D12</f>
        <v>33800</v>
      </c>
      <c r="E14" s="2">
        <f>E4+E7+E9+E11+E13+E12</f>
        <v>63341</v>
      </c>
      <c r="F14" s="2">
        <f>(B14/C14-1)*100</f>
        <v>-7.7248569784367449</v>
      </c>
      <c r="G14" s="9">
        <f>(B14/D14-1)*100</f>
        <v>-19.352071005917161</v>
      </c>
      <c r="J14" s="2"/>
      <c r="K14" s="2"/>
      <c r="L14" s="2"/>
      <c r="M14" s="2"/>
    </row>
    <row r="15" spans="1:19" x14ac:dyDescent="0.25">
      <c r="A15" s="1" t="s">
        <v>7</v>
      </c>
      <c r="B15" s="2">
        <v>-8072</v>
      </c>
      <c r="C15" s="2">
        <f t="shared" si="1"/>
        <v>-8436</v>
      </c>
      <c r="D15" s="2">
        <v>-11391</v>
      </c>
      <c r="E15" s="2">
        <v>-19827</v>
      </c>
      <c r="J15" s="2" t="s">
        <v>27</v>
      </c>
      <c r="K15" s="2" t="s">
        <v>39</v>
      </c>
      <c r="L15" s="2" t="s">
        <v>25</v>
      </c>
      <c r="M15" s="2" t="s">
        <v>24</v>
      </c>
    </row>
    <row r="16" spans="1:19" x14ac:dyDescent="0.25">
      <c r="A16" s="3" t="s">
        <v>8</v>
      </c>
      <c r="B16" s="4">
        <f>-3090-2033-1039-131</f>
        <v>-6293</v>
      </c>
      <c r="C16" s="4">
        <f t="shared" si="1"/>
        <v>-6729</v>
      </c>
      <c r="D16" s="4">
        <f>-3118-2173-967-70-10</f>
        <v>-6338</v>
      </c>
      <c r="E16" s="4">
        <f>-6229-4692-1972-164-10</f>
        <v>-13067</v>
      </c>
      <c r="F16" s="2">
        <f>(B16/C16-1)*100</f>
        <v>-6.4794174468717491</v>
      </c>
      <c r="G16" s="9">
        <f>(B16/D16-1)*100</f>
        <v>-0.71000315556958293</v>
      </c>
      <c r="I16" s="1" t="s">
        <v>34</v>
      </c>
      <c r="J16" s="6">
        <v>1.78E-2</v>
      </c>
      <c r="K16" s="6">
        <v>1.9900000000000001E-2</v>
      </c>
      <c r="L16" s="6">
        <f>K16*2-M16</f>
        <v>1.9600000000000003E-2</v>
      </c>
      <c r="M16" s="6">
        <v>2.0199999999999999E-2</v>
      </c>
    </row>
    <row r="17" spans="1:15" x14ac:dyDescent="0.25">
      <c r="A17" s="1" t="s">
        <v>9</v>
      </c>
      <c r="B17" s="2">
        <f>B14+B15+B16</f>
        <v>12894</v>
      </c>
      <c r="C17" s="2">
        <f>C14+C15+C16</f>
        <v>14376</v>
      </c>
      <c r="D17" s="2">
        <f>D14+D15+D16</f>
        <v>16071</v>
      </c>
      <c r="E17" s="2">
        <f>E14+E15+E16</f>
        <v>30447</v>
      </c>
      <c r="F17" s="2">
        <f>(B17/C17-1)*100</f>
        <v>-10.30884808013356</v>
      </c>
      <c r="G17" s="9">
        <f>(B17/D17-1)*100</f>
        <v>-19.768527160724283</v>
      </c>
      <c r="I17" s="1" t="s">
        <v>28</v>
      </c>
      <c r="J17" s="2">
        <v>1911.8427360000001</v>
      </c>
      <c r="K17" s="2">
        <v>1911.8427360000001</v>
      </c>
      <c r="L17" s="2">
        <v>1911.8427360000001</v>
      </c>
      <c r="M17" s="2">
        <v>1911.8427360000001</v>
      </c>
    </row>
    <row r="18" spans="1:15" x14ac:dyDescent="0.25">
      <c r="A18" s="3" t="s">
        <v>10</v>
      </c>
      <c r="B18" s="4">
        <v>-1760</v>
      </c>
      <c r="C18" s="4">
        <f>E18-D18</f>
        <v>-1327</v>
      </c>
      <c r="D18" s="4">
        <v>-510</v>
      </c>
      <c r="E18" s="4">
        <v>-1837</v>
      </c>
      <c r="F18" s="8"/>
      <c r="G18" s="10"/>
      <c r="I18" s="1" t="s">
        <v>29</v>
      </c>
      <c r="J18" s="7">
        <f>B25/J17</f>
        <v>4.636364609437206</v>
      </c>
      <c r="K18" s="7">
        <f>E25/K17</f>
        <v>12.773540176789938</v>
      </c>
      <c r="L18" s="7">
        <f>C25/L17</f>
        <v>5.7923174283514918</v>
      </c>
      <c r="M18" s="7">
        <f>D25/M17</f>
        <v>6.981222748438447</v>
      </c>
      <c r="N18" s="2">
        <f>(J18/L18-1)*100</f>
        <v>-19.95665522846307</v>
      </c>
      <c r="O18" s="2">
        <f>(J18/M18-1)*100</f>
        <v>-33.588072225968389</v>
      </c>
    </row>
    <row r="19" spans="1:15" x14ac:dyDescent="0.25">
      <c r="A19" s="1" t="s">
        <v>11</v>
      </c>
      <c r="B19" s="2">
        <f>B17+B18</f>
        <v>11134</v>
      </c>
      <c r="C19" s="2">
        <f>C17+C18</f>
        <v>13049</v>
      </c>
      <c r="D19" s="2">
        <f>D17+D18</f>
        <v>15561</v>
      </c>
      <c r="E19" s="2">
        <f>E17+E18</f>
        <v>28610</v>
      </c>
      <c r="F19" s="2">
        <f>(B19/C19-1)*100</f>
        <v>-14.675454057782201</v>
      </c>
      <c r="G19" s="9">
        <f>(B19/D19-1)*100</f>
        <v>-28.449328449328448</v>
      </c>
      <c r="I19" s="1" t="s">
        <v>30</v>
      </c>
      <c r="J19" s="7">
        <f>1.1+0.8</f>
        <v>1.9000000000000001</v>
      </c>
      <c r="K19" s="7">
        <f>1.4+1.4+1.4+4</f>
        <v>8.1999999999999993</v>
      </c>
      <c r="L19" s="7">
        <v>5.4</v>
      </c>
      <c r="M19" s="7">
        <v>2.8</v>
      </c>
      <c r="O19" s="2">
        <f>(J19/M19-1)*100</f>
        <v>-32.142857142857132</v>
      </c>
    </row>
    <row r="20" spans="1:15" x14ac:dyDescent="0.25">
      <c r="A20" s="3" t="s">
        <v>12</v>
      </c>
      <c r="B20" s="4">
        <f>-428-87</f>
        <v>-515</v>
      </c>
      <c r="C20" s="4">
        <f>E20-D20</f>
        <v>-130</v>
      </c>
      <c r="D20" s="4">
        <f>187+146</f>
        <v>333</v>
      </c>
      <c r="E20" s="4">
        <f>35+168</f>
        <v>203</v>
      </c>
      <c r="F20" s="8"/>
      <c r="G20" s="10"/>
      <c r="I20" s="1" t="s">
        <v>31</v>
      </c>
      <c r="J20" s="7">
        <f>J11/J17</f>
        <v>85.924954446671592</v>
      </c>
      <c r="K20" s="7">
        <f>K11/K17</f>
        <v>87.384802554178279</v>
      </c>
      <c r="L20" s="7">
        <f>L11/L17</f>
        <v>87.384802554178279</v>
      </c>
      <c r="M20" s="7">
        <f>M11/M17</f>
        <v>84.199917163061045</v>
      </c>
      <c r="N20" s="2">
        <f>(J20/L20-1)*100</f>
        <v>-1.6705972489914234</v>
      </c>
      <c r="O20" s="2">
        <f>(J20/M20-1)*100</f>
        <v>2.0487398820949521</v>
      </c>
    </row>
    <row r="21" spans="1:15" x14ac:dyDescent="0.25">
      <c r="A21" s="1" t="s">
        <v>13</v>
      </c>
      <c r="B21" s="2">
        <f>B19+B20</f>
        <v>10619</v>
      </c>
      <c r="C21" s="2">
        <f>C19+C20</f>
        <v>12919</v>
      </c>
      <c r="D21" s="2">
        <f>D19+D20</f>
        <v>15894</v>
      </c>
      <c r="E21" s="2">
        <f>E19+E20</f>
        <v>28813</v>
      </c>
      <c r="F21" s="2">
        <f>(B21/C21-1)*100</f>
        <v>-17.803235544546791</v>
      </c>
      <c r="G21" s="9">
        <f>(B21/D21-1)*100</f>
        <v>-33.188624638228262</v>
      </c>
    </row>
    <row r="22" spans="1:15" x14ac:dyDescent="0.25">
      <c r="A22" s="1" t="s">
        <v>14</v>
      </c>
      <c r="B22" s="2">
        <v>-1484</v>
      </c>
      <c r="C22" s="2">
        <f>E22-D22</f>
        <v>-1743</v>
      </c>
      <c r="D22" s="2">
        <v>-2248</v>
      </c>
      <c r="E22" s="2">
        <v>-3991</v>
      </c>
    </row>
    <row r="23" spans="1:15" x14ac:dyDescent="0.25">
      <c r="A23" s="1" t="s">
        <v>32</v>
      </c>
      <c r="B23" s="2">
        <v>-279</v>
      </c>
      <c r="C23" s="2">
        <f>E23-D23</f>
        <v>-110</v>
      </c>
      <c r="D23" s="2">
        <v>-309</v>
      </c>
      <c r="E23" s="2">
        <f>-342-77</f>
        <v>-419</v>
      </c>
    </row>
    <row r="24" spans="1:15" x14ac:dyDescent="0.25">
      <c r="A24" s="3" t="s">
        <v>16</v>
      </c>
      <c r="B24" s="4">
        <v>8</v>
      </c>
      <c r="C24" s="4">
        <f>E24-D24</f>
        <v>8</v>
      </c>
      <c r="D24" s="4">
        <v>10</v>
      </c>
      <c r="E24" s="4">
        <v>18</v>
      </c>
      <c r="F24" s="8"/>
      <c r="G24" s="10"/>
    </row>
    <row r="25" spans="1:15" x14ac:dyDescent="0.25">
      <c r="A25" s="1" t="s">
        <v>15</v>
      </c>
      <c r="B25" s="2">
        <f>B21+B22+B23+B24</f>
        <v>8864</v>
      </c>
      <c r="C25" s="2">
        <f>C21+C22+C23+C24</f>
        <v>11074</v>
      </c>
      <c r="D25" s="2">
        <f>D21+D22+D23+D24</f>
        <v>13347</v>
      </c>
      <c r="E25" s="2">
        <f>E21+E22+E23+E24</f>
        <v>24421</v>
      </c>
      <c r="F25" s="2">
        <f>(B25/C25-1)*100</f>
        <v>-19.95665522846307</v>
      </c>
      <c r="G25" s="9">
        <f>(B25/D25-1)*100</f>
        <v>-33.588072225968382</v>
      </c>
    </row>
    <row r="32" spans="1:15" hidden="1" x14ac:dyDescent="0.25"/>
    <row r="34" hidden="1" x14ac:dyDescent="0.25"/>
    <row r="35" hidden="1" x14ac:dyDescent="0.25"/>
    <row r="36" hidden="1" x14ac:dyDescent="0.25"/>
    <row r="38" hidden="1" x14ac:dyDescent="0.25"/>
    <row r="39" hidden="1" x14ac:dyDescent="0.25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2020-08-30T15:08:14Z</dcterms:created>
  <dcterms:modified xsi:type="dcterms:W3CDTF">2020-08-30T19:05:15Z</dcterms:modified>
</cp:coreProperties>
</file>